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4.xml" ContentType="application/vnd.openxmlformats-officedocument.drawing+xml"/>
  <Override PartName="/xl/charts/chart1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38.xml" ContentType="application/vnd.openxmlformats-officedocument.drawingml.chart+xml"/>
  <Override PartName="/xl/drawings/drawing1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1.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12.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13.xml" ContentType="application/vnd.openxmlformats-officedocument.drawing+xml"/>
  <Override PartName="/xl/charts/chart47.xml" ContentType="application/vnd.openxmlformats-officedocument.drawingml.chart+xml"/>
  <Override PartName="/xl/drawings/drawing14.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15.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drawings/drawing16.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17.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480" windowWidth="14700" windowHeight="7680" tabRatio="934"/>
  </bookViews>
  <sheets>
    <sheet name="threetypes" sheetId="1" r:id="rId1"/>
    <sheet name="terminology" sheetId="2" r:id="rId2"/>
    <sheet name="signalplusnoise" sheetId="3" r:id="rId3"/>
    <sheet name="informalfits" sheetId="22" r:id="rId4"/>
    <sheet name="datagathering" sheetId="23" r:id="rId5"/>
    <sheet name="leastsquares" sheetId="4" r:id="rId6"/>
    <sheet name="xbar_ybar" sheetId="5" r:id="rId7"/>
    <sheet name="outliers_influential" sheetId="6" r:id="rId8"/>
    <sheet name="residualplots" sheetId="10" r:id="rId9"/>
    <sheet name="sixplot" sheetId="8" r:id="rId10"/>
    <sheet name="whygraphresiduals" sheetId="9" r:id="rId11"/>
    <sheet name="estimators" sheetId="11" r:id="rId12"/>
    <sheet name="inferences" sheetId="12" r:id="rId13"/>
    <sheet name="inferences_newdata" sheetId="24" r:id="rId14"/>
    <sheet name="explainingvariation" sheetId="13" r:id="rId15"/>
    <sheet name="R2properties" sheetId="15" r:id="rId16"/>
    <sheet name="correlcoef" sheetId="16" r:id="rId17"/>
    <sheet name="elegantformulas" sheetId="20" r:id="rId18"/>
    <sheet name="correl_of_0" sheetId="17" r:id="rId19"/>
    <sheet name="weak_moderate_strong" sheetId="21" r:id="rId20"/>
    <sheet name="switch_x_vs_y" sheetId="18" r:id="rId21"/>
  </sheets>
  <definedNames>
    <definedName name="airfairb0best">leastsquares!$F$58</definedName>
    <definedName name="airfareb0best">leastsquares!$F$58</definedName>
    <definedName name="airfareb0guess">leastsquares!$D$58</definedName>
    <definedName name="airfareb1best">leastsquares!$F$59</definedName>
    <definedName name="airfareb1guess">leastsquares!$D$59</definedName>
    <definedName name="beta0">signalplusnoise!$C$14</definedName>
    <definedName name="beta1">signalplusnoise!$C$15</definedName>
    <definedName name="sigma">signalplusnoise!$D$12</definedName>
  </definedNames>
  <calcPr calcId="145621"/>
</workbook>
</file>

<file path=xl/calcChain.xml><?xml version="1.0" encoding="utf-8"?>
<calcChain xmlns="http://schemas.openxmlformats.org/spreadsheetml/2006/main">
  <c r="D16" i="4" l="1"/>
  <c r="C16" i="4"/>
  <c r="B16" i="4"/>
  <c r="D15" i="4"/>
  <c r="C15" i="4"/>
  <c r="B15" i="4"/>
  <c r="D14" i="4"/>
  <c r="C14" i="4"/>
  <c r="B14" i="4"/>
  <c r="D13" i="4"/>
  <c r="C13" i="4"/>
  <c r="B13" i="4"/>
  <c r="D12" i="4"/>
  <c r="C12" i="4"/>
  <c r="B12" i="4"/>
  <c r="D11" i="4"/>
  <c r="C11" i="4"/>
  <c r="B11" i="4"/>
  <c r="D10" i="4"/>
  <c r="C10" i="4"/>
  <c r="B10" i="4"/>
  <c r="D9" i="4"/>
  <c r="C9" i="4"/>
  <c r="B9" i="4"/>
  <c r="D8" i="4"/>
  <c r="C8" i="4"/>
  <c r="B8" i="4"/>
  <c r="D7" i="4"/>
  <c r="C7" i="4"/>
  <c r="B7" i="4"/>
  <c r="D6" i="4"/>
  <c r="C6" i="4"/>
  <c r="B6" i="4"/>
  <c r="D5" i="4"/>
  <c r="C5" i="4"/>
  <c r="B5" i="4"/>
  <c r="D42" i="16"/>
  <c r="C42" i="16"/>
  <c r="B42" i="16"/>
  <c r="D41" i="16"/>
  <c r="C41" i="16"/>
  <c r="B41" i="16"/>
  <c r="D40" i="16"/>
  <c r="C40" i="16"/>
  <c r="B40" i="16"/>
  <c r="D39" i="16"/>
  <c r="C39" i="16"/>
  <c r="B39" i="16"/>
  <c r="D38" i="16"/>
  <c r="C38" i="16"/>
  <c r="B38" i="16"/>
  <c r="D37" i="16"/>
  <c r="C37" i="16"/>
  <c r="B37" i="16"/>
  <c r="D36" i="16"/>
  <c r="C36" i="16"/>
  <c r="B36" i="16"/>
  <c r="D35" i="16"/>
  <c r="C35" i="16"/>
  <c r="B35" i="16"/>
  <c r="D34" i="16"/>
  <c r="C34" i="16"/>
  <c r="B34" i="16"/>
  <c r="D33" i="16"/>
  <c r="C33" i="16"/>
  <c r="B33" i="16"/>
  <c r="D32" i="16"/>
  <c r="C32" i="16"/>
  <c r="B32" i="16"/>
  <c r="D31" i="16"/>
  <c r="C31" i="16"/>
  <c r="B31" i="16"/>
  <c r="C24" i="15"/>
  <c r="B24" i="15"/>
  <c r="A24" i="15"/>
  <c r="C23" i="15"/>
  <c r="B23" i="15"/>
  <c r="A23" i="15"/>
  <c r="C22" i="15"/>
  <c r="B22" i="15"/>
  <c r="A22" i="15"/>
  <c r="C21" i="15"/>
  <c r="B21" i="15"/>
  <c r="A21" i="15"/>
  <c r="C20" i="15"/>
  <c r="B20" i="15"/>
  <c r="A20" i="15"/>
  <c r="C19" i="15"/>
  <c r="B19" i="15"/>
  <c r="A19" i="15"/>
  <c r="C18" i="15"/>
  <c r="B18" i="15"/>
  <c r="A18" i="15"/>
  <c r="C17" i="15"/>
  <c r="B17" i="15"/>
  <c r="A17" i="15"/>
  <c r="C16" i="15"/>
  <c r="B16" i="15"/>
  <c r="A16" i="15"/>
  <c r="C15" i="15"/>
  <c r="B15" i="15"/>
  <c r="A15" i="15"/>
  <c r="C14" i="15"/>
  <c r="B14" i="15"/>
  <c r="A14" i="15"/>
  <c r="C13" i="15"/>
  <c r="B13" i="15"/>
  <c r="A13" i="15"/>
  <c r="C25" i="13"/>
  <c r="B25" i="13"/>
  <c r="A25" i="13"/>
  <c r="C24" i="13"/>
  <c r="B24" i="13"/>
  <c r="A24" i="13"/>
  <c r="C23" i="13"/>
  <c r="B23" i="13"/>
  <c r="A23" i="13"/>
  <c r="C22" i="13"/>
  <c r="B22" i="13"/>
  <c r="A22" i="13"/>
  <c r="C21" i="13"/>
  <c r="B21" i="13"/>
  <c r="A21" i="13"/>
  <c r="C20" i="13"/>
  <c r="B20" i="13"/>
  <c r="A20" i="13"/>
  <c r="C19" i="13"/>
  <c r="B19" i="13"/>
  <c r="A19" i="13"/>
  <c r="C18" i="13"/>
  <c r="B18" i="13"/>
  <c r="A18" i="13"/>
  <c r="C17" i="13"/>
  <c r="B17" i="13"/>
  <c r="A17" i="13"/>
  <c r="C16" i="13"/>
  <c r="B16" i="13"/>
  <c r="A16" i="13"/>
  <c r="C15" i="13"/>
  <c r="B15" i="13"/>
  <c r="A15" i="13"/>
  <c r="C14" i="13"/>
  <c r="B14" i="13"/>
  <c r="A14" i="13"/>
  <c r="C36" i="24"/>
  <c r="B36" i="24"/>
  <c r="A36" i="24"/>
  <c r="C35" i="24"/>
  <c r="B35" i="24"/>
  <c r="A35" i="24"/>
  <c r="C34" i="24"/>
  <c r="B34" i="24"/>
  <c r="A34" i="24"/>
  <c r="C33" i="24"/>
  <c r="B33" i="24"/>
  <c r="A33" i="24"/>
  <c r="C32" i="24"/>
  <c r="B32" i="24"/>
  <c r="A32" i="24"/>
  <c r="C31" i="24"/>
  <c r="B31" i="24"/>
  <c r="A31" i="24"/>
  <c r="C30" i="24"/>
  <c r="B30" i="24"/>
  <c r="A30" i="24"/>
  <c r="C29" i="24"/>
  <c r="B29" i="24"/>
  <c r="A29" i="24"/>
  <c r="C28" i="24"/>
  <c r="B28" i="24"/>
  <c r="A28" i="24"/>
  <c r="C27" i="24"/>
  <c r="B27" i="24"/>
  <c r="A27" i="24"/>
  <c r="C26" i="24"/>
  <c r="B26" i="24"/>
  <c r="A26" i="24"/>
  <c r="C25" i="24"/>
  <c r="B25" i="24"/>
  <c r="A25" i="24"/>
  <c r="B88" i="24"/>
  <c r="B87" i="24"/>
  <c r="B86" i="24"/>
  <c r="B85" i="24"/>
  <c r="B84" i="24"/>
  <c r="B83" i="24"/>
  <c r="B82" i="24"/>
  <c r="B81" i="24"/>
  <c r="B80" i="24"/>
  <c r="B79" i="24"/>
  <c r="B78" i="24"/>
  <c r="B77" i="24"/>
  <c r="B76" i="24"/>
  <c r="B75" i="24"/>
  <c r="B74" i="24"/>
  <c r="B73" i="24"/>
  <c r="B72" i="24"/>
  <c r="B71" i="24"/>
  <c r="B70" i="24"/>
  <c r="B69" i="24"/>
  <c r="B68" i="24"/>
  <c r="C111" i="10"/>
  <c r="B111" i="10"/>
  <c r="A111" i="10"/>
  <c r="C110" i="10"/>
  <c r="B110" i="10"/>
  <c r="A110" i="10"/>
  <c r="C109" i="10"/>
  <c r="B109" i="10"/>
  <c r="A109" i="10"/>
  <c r="C108" i="10"/>
  <c r="B108" i="10"/>
  <c r="A108" i="10"/>
  <c r="C107" i="10"/>
  <c r="B107" i="10"/>
  <c r="A107" i="10"/>
  <c r="C106" i="10"/>
  <c r="B106" i="10"/>
  <c r="A106" i="10"/>
  <c r="C105" i="10"/>
  <c r="B105" i="10"/>
  <c r="A105" i="10"/>
  <c r="C104" i="10"/>
  <c r="B104" i="10"/>
  <c r="A104" i="10"/>
  <c r="C103" i="10"/>
  <c r="B103" i="10"/>
  <c r="A103" i="10"/>
  <c r="C102" i="10"/>
  <c r="B102" i="10"/>
  <c r="A102" i="10"/>
  <c r="C101" i="10"/>
  <c r="B101" i="10"/>
  <c r="A101" i="10"/>
  <c r="C100" i="10"/>
  <c r="B100" i="10"/>
  <c r="A100" i="10"/>
  <c r="C124" i="6"/>
  <c r="B124" i="6"/>
  <c r="A124" i="6"/>
  <c r="C123" i="6"/>
  <c r="B123" i="6"/>
  <c r="A123" i="6"/>
  <c r="C122" i="6"/>
  <c r="B122" i="6"/>
  <c r="A122" i="6"/>
  <c r="C121" i="6"/>
  <c r="B121" i="6"/>
  <c r="A121" i="6"/>
  <c r="C120" i="6"/>
  <c r="B120" i="6"/>
  <c r="A120" i="6"/>
  <c r="C119" i="6"/>
  <c r="B119" i="6"/>
  <c r="A119" i="6"/>
  <c r="C118" i="6"/>
  <c r="B118" i="6"/>
  <c r="A118" i="6"/>
  <c r="C117" i="6"/>
  <c r="B117" i="6"/>
  <c r="A117" i="6"/>
  <c r="C116" i="6"/>
  <c r="B116" i="6"/>
  <c r="A116" i="6"/>
  <c r="C115" i="6"/>
  <c r="B115" i="6"/>
  <c r="A115" i="6"/>
  <c r="C114" i="6"/>
  <c r="B114" i="6"/>
  <c r="A114" i="6"/>
  <c r="C113" i="6"/>
  <c r="B113" i="6"/>
  <c r="A113" i="6"/>
  <c r="C104" i="6"/>
  <c r="B104" i="6"/>
  <c r="A104" i="6"/>
  <c r="C103" i="6"/>
  <c r="B103" i="6"/>
  <c r="A103" i="6"/>
  <c r="C102" i="6"/>
  <c r="B102" i="6"/>
  <c r="A102" i="6"/>
  <c r="C101" i="6"/>
  <c r="B101" i="6"/>
  <c r="A101" i="6"/>
  <c r="C100" i="6"/>
  <c r="B100" i="6"/>
  <c r="A100" i="6"/>
  <c r="C99" i="6"/>
  <c r="B99" i="6"/>
  <c r="A99" i="6"/>
  <c r="C98" i="6"/>
  <c r="B98" i="6"/>
  <c r="A98" i="6"/>
  <c r="C97" i="6"/>
  <c r="B97" i="6"/>
  <c r="A97" i="6"/>
  <c r="C96" i="6"/>
  <c r="B96" i="6"/>
  <c r="A96" i="6"/>
  <c r="C95" i="6"/>
  <c r="B95" i="6"/>
  <c r="A95" i="6"/>
  <c r="C94" i="6"/>
  <c r="B94" i="6"/>
  <c r="A94" i="6"/>
  <c r="C93" i="6"/>
  <c r="B93" i="6"/>
  <c r="A93" i="6"/>
  <c r="C84" i="6"/>
  <c r="B84" i="6"/>
  <c r="A84" i="6"/>
  <c r="C83" i="6"/>
  <c r="B83" i="6"/>
  <c r="A83" i="6"/>
  <c r="C82" i="6"/>
  <c r="B82" i="6"/>
  <c r="A82" i="6"/>
  <c r="C81" i="6"/>
  <c r="B81" i="6"/>
  <c r="A81" i="6"/>
  <c r="C80" i="6"/>
  <c r="B80" i="6"/>
  <c r="A80" i="6"/>
  <c r="C79" i="6"/>
  <c r="B79" i="6"/>
  <c r="A79" i="6"/>
  <c r="C78" i="6"/>
  <c r="B78" i="6"/>
  <c r="A78" i="6"/>
  <c r="C77" i="6"/>
  <c r="B77" i="6"/>
  <c r="A77" i="6"/>
  <c r="C76" i="6"/>
  <c r="B76" i="6"/>
  <c r="A76" i="6"/>
  <c r="C75" i="6"/>
  <c r="B75" i="6"/>
  <c r="A75" i="6"/>
  <c r="C74" i="6"/>
  <c r="B74" i="6"/>
  <c r="A74" i="6"/>
  <c r="C73" i="6"/>
  <c r="B73" i="6"/>
  <c r="A73" i="6"/>
  <c r="C64" i="6"/>
  <c r="B64" i="6"/>
  <c r="A64" i="6"/>
  <c r="C63" i="6"/>
  <c r="B63" i="6"/>
  <c r="A63" i="6"/>
  <c r="C62" i="6"/>
  <c r="B62" i="6"/>
  <c r="A62" i="6"/>
  <c r="C61" i="6"/>
  <c r="B61" i="6"/>
  <c r="A61" i="6"/>
  <c r="C60" i="6"/>
  <c r="B60" i="6"/>
  <c r="A60" i="6"/>
  <c r="C59" i="6"/>
  <c r="B59" i="6"/>
  <c r="A59" i="6"/>
  <c r="C58" i="6"/>
  <c r="B58" i="6"/>
  <c r="A58" i="6"/>
  <c r="C57" i="6"/>
  <c r="B57" i="6"/>
  <c r="A57" i="6"/>
  <c r="C56" i="6"/>
  <c r="B56" i="6"/>
  <c r="A56" i="6"/>
  <c r="C55" i="6"/>
  <c r="B55" i="6"/>
  <c r="A55" i="6"/>
  <c r="C54" i="6"/>
  <c r="B54" i="6"/>
  <c r="A54" i="6"/>
  <c r="C53" i="6"/>
  <c r="B53" i="6"/>
  <c r="A53" i="6"/>
  <c r="C44" i="6"/>
  <c r="B44" i="6"/>
  <c r="A44" i="6"/>
  <c r="C43" i="6"/>
  <c r="B43" i="6"/>
  <c r="A43" i="6"/>
  <c r="C42" i="6"/>
  <c r="B42" i="6"/>
  <c r="A42" i="6"/>
  <c r="C41" i="6"/>
  <c r="B41" i="6"/>
  <c r="A41" i="6"/>
  <c r="C40" i="6"/>
  <c r="B40" i="6"/>
  <c r="A40" i="6"/>
  <c r="C39" i="6"/>
  <c r="B39" i="6"/>
  <c r="A39" i="6"/>
  <c r="C38" i="6"/>
  <c r="B38" i="6"/>
  <c r="A38" i="6"/>
  <c r="C37" i="6"/>
  <c r="B37" i="6"/>
  <c r="A37" i="6"/>
  <c r="C36" i="6"/>
  <c r="B36" i="6"/>
  <c r="A36" i="6"/>
  <c r="C35" i="6"/>
  <c r="B35" i="6"/>
  <c r="A35" i="6"/>
  <c r="C34" i="6"/>
  <c r="B34" i="6"/>
  <c r="A34" i="6"/>
  <c r="C33" i="6"/>
  <c r="B33" i="6"/>
  <c r="A33" i="6"/>
  <c r="C28" i="6"/>
  <c r="B28" i="6"/>
  <c r="A28" i="6"/>
  <c r="C27" i="6"/>
  <c r="B27" i="6"/>
  <c r="A27" i="6"/>
  <c r="C26" i="6"/>
  <c r="B26" i="6"/>
  <c r="A26" i="6"/>
  <c r="C25" i="6"/>
  <c r="B25" i="6"/>
  <c r="A25" i="6"/>
  <c r="C24" i="6"/>
  <c r="B24" i="6"/>
  <c r="A24" i="6"/>
  <c r="C23" i="6"/>
  <c r="B23" i="6"/>
  <c r="A23" i="6"/>
  <c r="C22" i="6"/>
  <c r="B22" i="6"/>
  <c r="A22" i="6"/>
  <c r="C21" i="6"/>
  <c r="B21" i="6"/>
  <c r="A21" i="6"/>
  <c r="C20" i="6"/>
  <c r="B20" i="6"/>
  <c r="A20" i="6"/>
  <c r="C19" i="6"/>
  <c r="B19" i="6"/>
  <c r="A19" i="6"/>
  <c r="C18" i="6"/>
  <c r="B18" i="6"/>
  <c r="A18" i="6"/>
  <c r="C17" i="6"/>
  <c r="B17" i="6"/>
  <c r="A17" i="6"/>
  <c r="C24" i="5"/>
  <c r="B24" i="5"/>
  <c r="A24" i="5"/>
  <c r="C23" i="5"/>
  <c r="B23" i="5"/>
  <c r="A23" i="5"/>
  <c r="C22" i="5"/>
  <c r="B22" i="5"/>
  <c r="A22" i="5"/>
  <c r="C21" i="5"/>
  <c r="B21" i="5"/>
  <c r="A21" i="5"/>
  <c r="C20" i="5"/>
  <c r="B20" i="5"/>
  <c r="A20" i="5"/>
  <c r="C19" i="5"/>
  <c r="B19" i="5"/>
  <c r="A19" i="5"/>
  <c r="C18" i="5"/>
  <c r="B18" i="5"/>
  <c r="A18" i="5"/>
  <c r="C17" i="5"/>
  <c r="B17" i="5"/>
  <c r="A17" i="5"/>
  <c r="C16" i="5"/>
  <c r="B16" i="5"/>
  <c r="A16" i="5"/>
  <c r="C15" i="5"/>
  <c r="B15" i="5"/>
  <c r="A15" i="5"/>
  <c r="C14" i="5"/>
  <c r="B14" i="5"/>
  <c r="A14" i="5"/>
  <c r="C13" i="5"/>
  <c r="B13" i="5"/>
  <c r="A13" i="5"/>
  <c r="C74" i="4"/>
  <c r="C73" i="4"/>
  <c r="C72" i="4"/>
  <c r="C71" i="4"/>
  <c r="C70" i="4"/>
  <c r="C69" i="4"/>
  <c r="C68" i="4"/>
  <c r="C67" i="4"/>
  <c r="C66" i="4"/>
  <c r="C65" i="4"/>
  <c r="C64" i="4"/>
  <c r="C63" i="4"/>
  <c r="B74" i="4"/>
  <c r="B73" i="4"/>
  <c r="B72" i="4"/>
  <c r="B71" i="4"/>
  <c r="B70" i="4"/>
  <c r="B69" i="4"/>
  <c r="B68" i="4"/>
  <c r="B67" i="4"/>
  <c r="B66" i="4"/>
  <c r="B65" i="4"/>
  <c r="B64" i="4"/>
  <c r="B63" i="4"/>
  <c r="A74" i="4"/>
  <c r="A73" i="4"/>
  <c r="A72" i="4"/>
  <c r="A71" i="4"/>
  <c r="A70" i="4"/>
  <c r="A69" i="4"/>
  <c r="A68" i="4"/>
  <c r="A67" i="4"/>
  <c r="A66" i="4"/>
  <c r="A65" i="4"/>
  <c r="A64" i="4"/>
  <c r="A63" i="4"/>
  <c r="E232" i="22"/>
  <c r="F232" i="22" s="1"/>
  <c r="E234" i="22"/>
  <c r="F234" i="22" s="1"/>
  <c r="E236" i="22"/>
  <c r="F236" i="22" s="1"/>
  <c r="E238" i="22"/>
  <c r="F238" i="22" s="1"/>
  <c r="E230" i="22"/>
  <c r="F230" i="22" s="1"/>
  <c r="E226" i="22"/>
  <c r="E233" i="22" s="1"/>
  <c r="F233" i="22" s="1"/>
  <c r="Q183" i="22"/>
  <c r="Q186" i="22"/>
  <c r="Q189" i="22"/>
  <c r="Q192" i="22"/>
  <c r="Q195" i="22"/>
  <c r="Q198" i="22"/>
  <c r="Q201" i="22"/>
  <c r="Q204" i="22"/>
  <c r="Q180" i="22"/>
  <c r="P179" i="22"/>
  <c r="P182" i="22" s="1"/>
  <c r="R176" i="22"/>
  <c r="Q177" i="22"/>
  <c r="Q176" i="22"/>
  <c r="E173" i="22"/>
  <c r="E180" i="22" s="1"/>
  <c r="R189" i="22" s="1"/>
  <c r="E172" i="22"/>
  <c r="E177" i="22" s="1"/>
  <c r="R180" i="22" s="1"/>
  <c r="E179" i="22"/>
  <c r="R186" i="22" s="1"/>
  <c r="E183" i="22"/>
  <c r="R198" i="22" s="1"/>
  <c r="F138" i="22"/>
  <c r="G138" i="22" s="1"/>
  <c r="F139" i="22"/>
  <c r="G139" i="22" s="1"/>
  <c r="F140" i="22"/>
  <c r="G140" i="22" s="1"/>
  <c r="F141" i="22"/>
  <c r="G141" i="22" s="1"/>
  <c r="F142" i="22"/>
  <c r="G142" i="22" s="1"/>
  <c r="F143" i="22"/>
  <c r="G143" i="22" s="1"/>
  <c r="F144" i="22"/>
  <c r="G144" i="22" s="1"/>
  <c r="F145" i="22"/>
  <c r="G145" i="22" s="1"/>
  <c r="F146" i="22"/>
  <c r="G146" i="22" s="1"/>
  <c r="F137" i="22"/>
  <c r="G137" i="22" s="1"/>
  <c r="D105" i="22"/>
  <c r="C105" i="22"/>
  <c r="D104" i="22"/>
  <c r="C104" i="22"/>
  <c r="I69" i="22"/>
  <c r="I68" i="22"/>
  <c r="E17" i="22"/>
  <c r="E18" i="22"/>
  <c r="E19" i="22"/>
  <c r="E20" i="22"/>
  <c r="E21" i="22"/>
  <c r="E22" i="22"/>
  <c r="E23" i="22"/>
  <c r="E24" i="22"/>
  <c r="E25" i="22"/>
  <c r="E16" i="22"/>
  <c r="C55" i="22"/>
  <c r="C56" i="22"/>
  <c r="C57" i="22"/>
  <c r="C58" i="22"/>
  <c r="C59" i="22"/>
  <c r="C60" i="22"/>
  <c r="C61" i="22"/>
  <c r="C62" i="22"/>
  <c r="C63" i="22"/>
  <c r="C64" i="22"/>
  <c r="B56" i="22"/>
  <c r="B57" i="22"/>
  <c r="B58" i="22"/>
  <c r="B59" i="22"/>
  <c r="B60" i="22"/>
  <c r="B61" i="22"/>
  <c r="B62" i="22"/>
  <c r="B63" i="22"/>
  <c r="B64" i="22"/>
  <c r="B55" i="22"/>
  <c r="F74" i="22" s="1"/>
  <c r="D49" i="3"/>
  <c r="B24" i="3"/>
  <c r="B25" i="3"/>
  <c r="B28" i="3" s="1"/>
  <c r="B26" i="3"/>
  <c r="B29" i="3" s="1"/>
  <c r="B27" i="3"/>
  <c r="B30" i="3"/>
  <c r="B33" i="3" s="1"/>
  <c r="B23" i="3"/>
  <c r="C26" i="3"/>
  <c r="D26" i="3"/>
  <c r="C27" i="3"/>
  <c r="D27" i="3"/>
  <c r="E27" i="3" s="1"/>
  <c r="D28" i="3"/>
  <c r="D29" i="3"/>
  <c r="C30" i="3"/>
  <c r="E30" i="3" s="1"/>
  <c r="D30" i="3"/>
  <c r="D31" i="3"/>
  <c r="D32" i="3"/>
  <c r="D33" i="3"/>
  <c r="D34" i="3"/>
  <c r="D35" i="3"/>
  <c r="D36" i="3"/>
  <c r="D37" i="3"/>
  <c r="D38" i="3"/>
  <c r="D39" i="3"/>
  <c r="D40" i="3"/>
  <c r="D41" i="3"/>
  <c r="D42" i="3"/>
  <c r="D43" i="3"/>
  <c r="D44" i="3"/>
  <c r="D45" i="3"/>
  <c r="D46" i="3"/>
  <c r="D47" i="3"/>
  <c r="D48" i="3"/>
  <c r="C71" i="17"/>
  <c r="C72" i="17"/>
  <c r="C70" i="17"/>
  <c r="E26" i="3" l="1"/>
  <c r="C29" i="3"/>
  <c r="E29" i="3" s="1"/>
  <c r="B32" i="3"/>
  <c r="C33" i="3"/>
  <c r="E33" i="3" s="1"/>
  <c r="B36" i="3"/>
  <c r="B31" i="3"/>
  <c r="C28" i="3"/>
  <c r="E28" i="3" s="1"/>
  <c r="E176" i="22"/>
  <c r="R177" i="22" s="1"/>
  <c r="E182" i="22"/>
  <c r="R195" i="22" s="1"/>
  <c r="E178" i="22"/>
  <c r="R183" i="22" s="1"/>
  <c r="E185" i="22"/>
  <c r="R204" i="22" s="1"/>
  <c r="E181" i="22"/>
  <c r="R192" i="22" s="1"/>
  <c r="E239" i="22"/>
  <c r="F239" i="22" s="1"/>
  <c r="E235" i="22"/>
  <c r="F235" i="22" s="1"/>
  <c r="E231" i="22"/>
  <c r="F231" i="22" s="1"/>
  <c r="F241" i="22" s="1"/>
  <c r="E184" i="22"/>
  <c r="R201" i="22" s="1"/>
  <c r="E237" i="22"/>
  <c r="F237" i="22" s="1"/>
  <c r="Q182" i="22"/>
  <c r="R182" i="22"/>
  <c r="P185" i="22"/>
  <c r="Q179" i="22"/>
  <c r="R179" i="22"/>
  <c r="G105" i="22"/>
  <c r="G104" i="22"/>
  <c r="F79" i="22"/>
  <c r="E73" i="22"/>
  <c r="F73" i="22"/>
  <c r="E74" i="22"/>
  <c r="E78" i="22"/>
  <c r="F78" i="22"/>
  <c r="E79" i="22"/>
  <c r="B34" i="3" l="1"/>
  <c r="C31" i="3"/>
  <c r="E31" i="3" s="1"/>
  <c r="B35" i="3"/>
  <c r="C32" i="3"/>
  <c r="E32" i="3" s="1"/>
  <c r="B39" i="3"/>
  <c r="C36" i="3"/>
  <c r="E36" i="3" s="1"/>
  <c r="Q185" i="22"/>
  <c r="R185" i="22"/>
  <c r="P188" i="22"/>
  <c r="G108" i="22"/>
  <c r="H108" i="22" s="1"/>
  <c r="G109" i="22"/>
  <c r="H109" i="22" s="1"/>
  <c r="G110" i="22"/>
  <c r="H110" i="22" s="1"/>
  <c r="G111" i="22"/>
  <c r="H111" i="22" s="1"/>
  <c r="G112" i="22"/>
  <c r="H112" i="22" s="1"/>
  <c r="G113" i="22"/>
  <c r="H113" i="22" s="1"/>
  <c r="G114" i="22"/>
  <c r="H114" i="22" s="1"/>
  <c r="G115" i="22"/>
  <c r="H115" i="22" s="1"/>
  <c r="G116" i="22"/>
  <c r="H116" i="22" s="1"/>
  <c r="G107" i="22"/>
  <c r="H107" i="22" s="1"/>
  <c r="I74" i="22"/>
  <c r="I79" i="22"/>
  <c r="B69" i="12"/>
  <c r="B70" i="12"/>
  <c r="B71" i="12"/>
  <c r="B72" i="12"/>
  <c r="B73" i="12"/>
  <c r="B74" i="12"/>
  <c r="B75" i="12"/>
  <c r="B76" i="12"/>
  <c r="B77" i="12"/>
  <c r="B78" i="12"/>
  <c r="B79" i="12"/>
  <c r="B80" i="12"/>
  <c r="B81" i="12"/>
  <c r="B82" i="12"/>
  <c r="B83" i="12"/>
  <c r="B84" i="12"/>
  <c r="B85" i="12"/>
  <c r="B86" i="12"/>
  <c r="B87" i="12"/>
  <c r="B88" i="12"/>
  <c r="B68" i="12"/>
  <c r="B38" i="3" l="1"/>
  <c r="C35" i="3"/>
  <c r="E35" i="3" s="1"/>
  <c r="B42" i="3"/>
  <c r="C39" i="3"/>
  <c r="E39" i="3" s="1"/>
  <c r="C34" i="3"/>
  <c r="E34" i="3" s="1"/>
  <c r="B37" i="3"/>
  <c r="Q188" i="22"/>
  <c r="R188" i="22"/>
  <c r="P191" i="22"/>
  <c r="I78" i="22"/>
  <c r="J78" i="22" s="1"/>
  <c r="J79" i="22"/>
  <c r="I73" i="22"/>
  <c r="J73" i="22" s="1"/>
  <c r="J74" i="22"/>
  <c r="H15" i="21"/>
  <c r="H16" i="21"/>
  <c r="H17" i="21"/>
  <c r="G17" i="21"/>
  <c r="G16" i="21"/>
  <c r="G15" i="21"/>
  <c r="K41" i="18"/>
  <c r="D14" i="18"/>
  <c r="D13" i="18"/>
  <c r="D12" i="18"/>
  <c r="L41" i="18" s="1"/>
  <c r="C58" i="18"/>
  <c r="C78" i="18" s="1"/>
  <c r="C59" i="18"/>
  <c r="C79" i="18" s="1"/>
  <c r="C60" i="18"/>
  <c r="C80" i="18" s="1"/>
  <c r="C61" i="18"/>
  <c r="C81" i="18" s="1"/>
  <c r="C62" i="18"/>
  <c r="C82" i="18" s="1"/>
  <c r="C63" i="18"/>
  <c r="C83" i="18" s="1"/>
  <c r="C64" i="18"/>
  <c r="C84" i="18" s="1"/>
  <c r="C65" i="18"/>
  <c r="C85" i="18" s="1"/>
  <c r="C66" i="18"/>
  <c r="C86" i="18" s="1"/>
  <c r="C67" i="18"/>
  <c r="C87" i="18" s="1"/>
  <c r="C68" i="18"/>
  <c r="C88" i="18" s="1"/>
  <c r="C57" i="18"/>
  <c r="C77" i="18" s="1"/>
  <c r="B84" i="16"/>
  <c r="D76" i="16"/>
  <c r="C76" i="16"/>
  <c r="D75" i="16"/>
  <c r="C75" i="16"/>
  <c r="D29" i="16"/>
  <c r="D28" i="16"/>
  <c r="C29" i="16"/>
  <c r="C28" i="16"/>
  <c r="E14" i="15"/>
  <c r="E15" i="15"/>
  <c r="E16" i="15"/>
  <c r="E17" i="15"/>
  <c r="E18" i="15"/>
  <c r="E19" i="15"/>
  <c r="E20" i="15"/>
  <c r="E21" i="15"/>
  <c r="E22" i="15"/>
  <c r="E23" i="15"/>
  <c r="E24" i="15"/>
  <c r="D14" i="15"/>
  <c r="D15" i="15"/>
  <c r="D16" i="15"/>
  <c r="D17" i="15"/>
  <c r="D18" i="15"/>
  <c r="D19" i="15"/>
  <c r="D20" i="15"/>
  <c r="D21" i="15"/>
  <c r="D22" i="15"/>
  <c r="D23" i="15"/>
  <c r="D24" i="15"/>
  <c r="E13" i="15"/>
  <c r="D13" i="15"/>
  <c r="D10" i="13"/>
  <c r="D9" i="13"/>
  <c r="D24" i="13" s="1"/>
  <c r="E24" i="13" s="1"/>
  <c r="C74" i="11"/>
  <c r="D37" i="11"/>
  <c r="E37" i="11"/>
  <c r="F37" i="11"/>
  <c r="G37" i="11"/>
  <c r="H37" i="11"/>
  <c r="I37" i="11"/>
  <c r="J37" i="11"/>
  <c r="K37" i="11"/>
  <c r="L37" i="11"/>
  <c r="M37" i="11"/>
  <c r="N37" i="11"/>
  <c r="O37" i="11"/>
  <c r="P37" i="11"/>
  <c r="Q37" i="11"/>
  <c r="R37" i="11"/>
  <c r="S37" i="11"/>
  <c r="T37" i="11"/>
  <c r="U37" i="11"/>
  <c r="V37" i="11"/>
  <c r="W37" i="11"/>
  <c r="X37" i="11"/>
  <c r="Y37" i="11"/>
  <c r="Z37" i="11"/>
  <c r="AA37" i="11"/>
  <c r="AB37" i="11"/>
  <c r="AC37" i="11"/>
  <c r="AD37" i="11"/>
  <c r="AE37" i="11"/>
  <c r="AF37" i="11"/>
  <c r="D38" i="11"/>
  <c r="E38" i="11"/>
  <c r="F38" i="11"/>
  <c r="G38"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AC39" i="11"/>
  <c r="AD39" i="11"/>
  <c r="AE39" i="11"/>
  <c r="AF39" i="11"/>
  <c r="D40" i="11"/>
  <c r="E40" i="11"/>
  <c r="F40" i="11"/>
  <c r="G40" i="11"/>
  <c r="H40" i="11"/>
  <c r="I40" i="11"/>
  <c r="J40" i="11"/>
  <c r="K40" i="11"/>
  <c r="L40" i="11"/>
  <c r="M40" i="11"/>
  <c r="N40" i="11"/>
  <c r="O40" i="11"/>
  <c r="P40" i="11"/>
  <c r="Q40" i="11"/>
  <c r="R40" i="11"/>
  <c r="S40" i="11"/>
  <c r="T40" i="11"/>
  <c r="U40" i="11"/>
  <c r="V40" i="11"/>
  <c r="W40" i="11"/>
  <c r="X40" i="11"/>
  <c r="Y40" i="11"/>
  <c r="Z40" i="11"/>
  <c r="AA40" i="11"/>
  <c r="AB40" i="11"/>
  <c r="AC40" i="11"/>
  <c r="AD40" i="11"/>
  <c r="AE40" i="11"/>
  <c r="AF40" i="11"/>
  <c r="D41" i="11"/>
  <c r="E41" i="11"/>
  <c r="F41" i="11"/>
  <c r="G41"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D42" i="11"/>
  <c r="E42" i="11"/>
  <c r="F42" i="11"/>
  <c r="G42"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AE43" i="11"/>
  <c r="AF43" i="11"/>
  <c r="D44" i="11"/>
  <c r="E44" i="11"/>
  <c r="F44" i="11"/>
  <c r="G44" i="11"/>
  <c r="H44" i="11"/>
  <c r="I44" i="11"/>
  <c r="J44" i="11"/>
  <c r="K44" i="11"/>
  <c r="L44" i="11"/>
  <c r="M44" i="11"/>
  <c r="N44" i="11"/>
  <c r="O44" i="11"/>
  <c r="P44" i="11"/>
  <c r="Q44" i="11"/>
  <c r="R44" i="11"/>
  <c r="S44" i="11"/>
  <c r="T44" i="11"/>
  <c r="U44" i="11"/>
  <c r="V44" i="11"/>
  <c r="W44" i="11"/>
  <c r="X44" i="11"/>
  <c r="Y44" i="11"/>
  <c r="Z44" i="11"/>
  <c r="AA44" i="11"/>
  <c r="AB44" i="11"/>
  <c r="AC44" i="11"/>
  <c r="AD44" i="11"/>
  <c r="AE44" i="11"/>
  <c r="AF44" i="11"/>
  <c r="D45" i="11"/>
  <c r="E45" i="11"/>
  <c r="F45" i="11"/>
  <c r="G45" i="11"/>
  <c r="H45" i="11"/>
  <c r="I45" i="11"/>
  <c r="J45" i="11"/>
  <c r="K45" i="11"/>
  <c r="L45" i="11"/>
  <c r="M45" i="11"/>
  <c r="N45" i="11"/>
  <c r="O45" i="11"/>
  <c r="P45" i="11"/>
  <c r="Q45" i="11"/>
  <c r="R45" i="11"/>
  <c r="S45" i="11"/>
  <c r="T45" i="11"/>
  <c r="U45" i="11"/>
  <c r="V45" i="11"/>
  <c r="W45" i="11"/>
  <c r="X45" i="11"/>
  <c r="Y45" i="11"/>
  <c r="Z45" i="11"/>
  <c r="AA45" i="11"/>
  <c r="AB45" i="11"/>
  <c r="AC45" i="11"/>
  <c r="AD45" i="11"/>
  <c r="AE45" i="11"/>
  <c r="AF45" i="11"/>
  <c r="D46" i="11"/>
  <c r="E46" i="11"/>
  <c r="F46" i="11"/>
  <c r="G46" i="11"/>
  <c r="H46" i="11"/>
  <c r="I46" i="11"/>
  <c r="J46" i="11"/>
  <c r="K46" i="11"/>
  <c r="L46" i="11"/>
  <c r="M46" i="11"/>
  <c r="N46" i="11"/>
  <c r="O46" i="11"/>
  <c r="P46" i="11"/>
  <c r="Q46" i="11"/>
  <c r="R46" i="11"/>
  <c r="S46" i="11"/>
  <c r="T46" i="11"/>
  <c r="U46" i="11"/>
  <c r="V46" i="11"/>
  <c r="W46" i="11"/>
  <c r="X46" i="11"/>
  <c r="Y46" i="11"/>
  <c r="Z46" i="11"/>
  <c r="AA46" i="11"/>
  <c r="AB46" i="11"/>
  <c r="AC46" i="11"/>
  <c r="AD46" i="11"/>
  <c r="AE46" i="11"/>
  <c r="AF46" i="11"/>
  <c r="D47" i="11"/>
  <c r="E47" i="11"/>
  <c r="F47" i="11"/>
  <c r="G47" i="11"/>
  <c r="H47" i="11"/>
  <c r="I47" i="11"/>
  <c r="J47" i="11"/>
  <c r="K47" i="11"/>
  <c r="L47" i="11"/>
  <c r="M47" i="11"/>
  <c r="N47" i="11"/>
  <c r="O47" i="11"/>
  <c r="P47" i="11"/>
  <c r="Q47" i="11"/>
  <c r="R47" i="11"/>
  <c r="S47" i="11"/>
  <c r="T47" i="11"/>
  <c r="U47" i="11"/>
  <c r="V47" i="11"/>
  <c r="W47" i="11"/>
  <c r="X47" i="11"/>
  <c r="Y47" i="11"/>
  <c r="Z47" i="11"/>
  <c r="AA47" i="11"/>
  <c r="AB47" i="11"/>
  <c r="AC47" i="11"/>
  <c r="AD47" i="11"/>
  <c r="AE47" i="11"/>
  <c r="AF47" i="11"/>
  <c r="D48" i="11"/>
  <c r="E48" i="11"/>
  <c r="F48" i="11"/>
  <c r="G48" i="11"/>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C38" i="11"/>
  <c r="C39" i="11"/>
  <c r="C40" i="11"/>
  <c r="C41" i="11"/>
  <c r="C42" i="11"/>
  <c r="C43" i="11"/>
  <c r="C44" i="11"/>
  <c r="C45" i="11"/>
  <c r="C46" i="11"/>
  <c r="C47" i="11"/>
  <c r="C48" i="11"/>
  <c r="C37" i="11"/>
  <c r="C77" i="11"/>
  <c r="C76" i="11"/>
  <c r="C8" i="9"/>
  <c r="C7" i="9"/>
  <c r="C12" i="9" s="1"/>
  <c r="D12" i="9" s="1"/>
  <c r="AF71" i="10"/>
  <c r="AF72" i="10"/>
  <c r="AF73" i="10"/>
  <c r="AG73" i="10" s="1"/>
  <c r="AF74" i="10"/>
  <c r="AG74" i="10" s="1"/>
  <c r="AF75" i="10"/>
  <c r="AF76" i="10"/>
  <c r="AF77" i="10"/>
  <c r="AG77" i="10" s="1"/>
  <c r="AF78" i="10"/>
  <c r="AG78" i="10" s="1"/>
  <c r="AF79" i="10"/>
  <c r="AF80" i="10"/>
  <c r="AF81" i="10"/>
  <c r="AG81" i="10" s="1"/>
  <c r="AF82" i="10"/>
  <c r="AG82" i="10" s="1"/>
  <c r="AF83" i="10"/>
  <c r="AF84" i="10"/>
  <c r="AF85" i="10"/>
  <c r="AG85" i="10" s="1"/>
  <c r="AF86" i="10"/>
  <c r="AG86" i="10" s="1"/>
  <c r="AF87" i="10"/>
  <c r="AG87" i="10" s="1"/>
  <c r="AF88" i="10"/>
  <c r="AF89" i="10"/>
  <c r="AG89" i="10" s="1"/>
  <c r="AF90" i="10"/>
  <c r="AG90" i="10" s="1"/>
  <c r="AF70" i="10"/>
  <c r="AG88" i="10"/>
  <c r="AG84" i="10"/>
  <c r="AG83" i="10"/>
  <c r="AG80" i="10"/>
  <c r="AG79" i="10"/>
  <c r="AG76" i="10"/>
  <c r="AG75" i="10"/>
  <c r="AG72" i="10"/>
  <c r="AG71" i="10"/>
  <c r="AG70" i="10"/>
  <c r="AF100" i="10"/>
  <c r="AG100" i="10" s="1"/>
  <c r="AF101" i="10"/>
  <c r="AF102" i="10"/>
  <c r="AG102" i="10" s="1"/>
  <c r="AF103" i="10"/>
  <c r="AF104" i="10"/>
  <c r="AF105" i="10"/>
  <c r="AG105" i="10" s="1"/>
  <c r="AF106" i="10"/>
  <c r="AG106" i="10" s="1"/>
  <c r="AF107" i="10"/>
  <c r="AF108" i="10"/>
  <c r="AF109" i="10"/>
  <c r="AG109" i="10" s="1"/>
  <c r="AF110" i="10"/>
  <c r="AG110" i="10" s="1"/>
  <c r="AF99" i="10"/>
  <c r="AG108" i="10"/>
  <c r="AG107" i="10"/>
  <c r="AG104" i="10"/>
  <c r="AG103" i="10"/>
  <c r="AG101" i="10"/>
  <c r="AG99" i="10"/>
  <c r="AG47" i="10"/>
  <c r="AG51" i="10"/>
  <c r="AG59" i="10"/>
  <c r="AF45" i="10"/>
  <c r="AG45" i="10" s="1"/>
  <c r="AF46" i="10"/>
  <c r="AG46" i="10" s="1"/>
  <c r="AF47" i="10"/>
  <c r="AF48" i="10"/>
  <c r="AG48" i="10" s="1"/>
  <c r="AF49" i="10"/>
  <c r="AG49" i="10" s="1"/>
  <c r="AF50" i="10"/>
  <c r="AG50" i="10" s="1"/>
  <c r="AF51" i="10"/>
  <c r="AF52" i="10"/>
  <c r="AG52" i="10" s="1"/>
  <c r="AF53" i="10"/>
  <c r="AG53" i="10" s="1"/>
  <c r="AF54" i="10"/>
  <c r="AG54" i="10" s="1"/>
  <c r="AF55" i="10"/>
  <c r="AG55" i="10" s="1"/>
  <c r="AF56" i="10"/>
  <c r="AG56" i="10" s="1"/>
  <c r="AF57" i="10"/>
  <c r="AG57" i="10" s="1"/>
  <c r="AF58" i="10"/>
  <c r="AG58" i="10" s="1"/>
  <c r="AF59" i="10"/>
  <c r="AF60" i="10"/>
  <c r="AG60" i="10" s="1"/>
  <c r="AF61" i="10"/>
  <c r="AG61" i="10" s="1"/>
  <c r="AF62" i="10"/>
  <c r="AG62" i="10" s="1"/>
  <c r="AF34" i="10"/>
  <c r="AF35" i="10"/>
  <c r="AF36" i="10"/>
  <c r="AG36" i="10" s="1"/>
  <c r="AF37" i="10"/>
  <c r="AF38" i="10"/>
  <c r="AF39" i="10"/>
  <c r="AF40" i="10"/>
  <c r="AG40" i="10" s="1"/>
  <c r="AF41" i="10"/>
  <c r="AF42" i="10"/>
  <c r="AF43" i="10"/>
  <c r="AF44" i="10"/>
  <c r="AG44" i="10" s="1"/>
  <c r="AF33" i="10"/>
  <c r="AG43" i="10"/>
  <c r="AG42" i="10"/>
  <c r="AG41" i="10"/>
  <c r="AG39" i="10"/>
  <c r="AG38" i="10"/>
  <c r="AG37" i="10"/>
  <c r="AG35" i="10"/>
  <c r="AG34" i="10"/>
  <c r="AG33" i="10"/>
  <c r="AF16" i="10"/>
  <c r="AF17" i="10"/>
  <c r="AF18" i="10"/>
  <c r="AG18" i="10" s="1"/>
  <c r="AF19" i="10"/>
  <c r="AF20" i="10"/>
  <c r="AF21" i="10"/>
  <c r="AF22" i="10"/>
  <c r="AF23" i="10"/>
  <c r="AF24" i="10"/>
  <c r="AF25" i="10"/>
  <c r="AF26" i="10"/>
  <c r="AF15" i="10"/>
  <c r="AG16" i="10"/>
  <c r="AG17" i="10"/>
  <c r="AG19" i="10"/>
  <c r="AG20" i="10"/>
  <c r="AG21" i="10"/>
  <c r="AG22" i="10"/>
  <c r="AG23" i="10"/>
  <c r="AG24" i="10"/>
  <c r="AG25" i="10"/>
  <c r="AG26" i="10"/>
  <c r="AG15" i="10"/>
  <c r="D97" i="10"/>
  <c r="D95" i="10"/>
  <c r="D104" i="10" s="1"/>
  <c r="E104" i="10" s="1"/>
  <c r="C66" i="10"/>
  <c r="C65" i="10"/>
  <c r="C70" i="10" s="1"/>
  <c r="D70" i="10" s="1"/>
  <c r="D59" i="10"/>
  <c r="E59" i="10" s="1"/>
  <c r="D60" i="10"/>
  <c r="E60" i="10" s="1"/>
  <c r="D30" i="10"/>
  <c r="D29" i="10"/>
  <c r="D35" i="10" s="1"/>
  <c r="E35" i="10" s="1"/>
  <c r="D13" i="10"/>
  <c r="D27" i="10" s="1"/>
  <c r="E27" i="10" s="1"/>
  <c r="D12" i="10"/>
  <c r="D23" i="10" s="1"/>
  <c r="E23" i="10" s="1"/>
  <c r="D16" i="10" l="1"/>
  <c r="E16" i="10" s="1"/>
  <c r="D18" i="10"/>
  <c r="E18" i="10" s="1"/>
  <c r="D52" i="10"/>
  <c r="E52" i="10" s="1"/>
  <c r="D43" i="10"/>
  <c r="E43" i="10" s="1"/>
  <c r="D51" i="10"/>
  <c r="E51" i="10" s="1"/>
  <c r="E33" i="16"/>
  <c r="E80" i="16"/>
  <c r="C42" i="3"/>
  <c r="E42" i="3" s="1"/>
  <c r="B45" i="3"/>
  <c r="F41" i="16"/>
  <c r="C37" i="3"/>
  <c r="E37" i="3" s="1"/>
  <c r="B40" i="3"/>
  <c r="D22" i="10"/>
  <c r="E22" i="10" s="1"/>
  <c r="C38" i="3"/>
  <c r="E38" i="3" s="1"/>
  <c r="B41" i="3"/>
  <c r="Q191" i="22"/>
  <c r="R191" i="22"/>
  <c r="P194" i="22"/>
  <c r="D56" i="10"/>
  <c r="E56" i="10" s="1"/>
  <c r="D47" i="10"/>
  <c r="E47" i="10" s="1"/>
  <c r="D17" i="10"/>
  <c r="E17" i="10" s="1"/>
  <c r="D21" i="10"/>
  <c r="E21" i="10" s="1"/>
  <c r="D25" i="10"/>
  <c r="E25" i="10" s="1"/>
  <c r="D26" i="10"/>
  <c r="E26" i="10" s="1"/>
  <c r="AE24" i="10" s="1"/>
  <c r="D20" i="10"/>
  <c r="E20" i="10" s="1"/>
  <c r="D24" i="10"/>
  <c r="E24" i="10" s="1"/>
  <c r="D19" i="10"/>
  <c r="E19" i="10" s="1"/>
  <c r="AE23" i="10" s="1"/>
  <c r="D33" i="10"/>
  <c r="E33" i="10" s="1"/>
  <c r="D55" i="10"/>
  <c r="E55" i="10" s="1"/>
  <c r="AE18" i="10"/>
  <c r="D62" i="10"/>
  <c r="E62" i="10" s="1"/>
  <c r="D58" i="10"/>
  <c r="E58" i="10" s="1"/>
  <c r="D54" i="10"/>
  <c r="E54" i="10" s="1"/>
  <c r="D50" i="10"/>
  <c r="E50" i="10" s="1"/>
  <c r="D46" i="10"/>
  <c r="E46" i="10" s="1"/>
  <c r="D42" i="10"/>
  <c r="E42" i="10" s="1"/>
  <c r="D38" i="10"/>
  <c r="E38" i="10" s="1"/>
  <c r="D34" i="10"/>
  <c r="E34" i="10" s="1"/>
  <c r="D111" i="10"/>
  <c r="E111" i="10" s="1"/>
  <c r="D107" i="10"/>
  <c r="E107" i="10" s="1"/>
  <c r="D103" i="10"/>
  <c r="E103" i="10" s="1"/>
  <c r="C11" i="9"/>
  <c r="D11" i="9" s="1"/>
  <c r="C47" i="9"/>
  <c r="D47" i="9" s="1"/>
  <c r="C43" i="9"/>
  <c r="D43" i="9" s="1"/>
  <c r="C39" i="9"/>
  <c r="D39" i="9" s="1"/>
  <c r="C35" i="9"/>
  <c r="D35" i="9" s="1"/>
  <c r="C31" i="9"/>
  <c r="D31" i="9" s="1"/>
  <c r="C27" i="9"/>
  <c r="D27" i="9" s="1"/>
  <c r="C23" i="9"/>
  <c r="D23" i="9" s="1"/>
  <c r="C19" i="9"/>
  <c r="D19" i="9" s="1"/>
  <c r="C15" i="9"/>
  <c r="D15" i="9" s="1"/>
  <c r="D23" i="13"/>
  <c r="E23" i="13" s="1"/>
  <c r="E40" i="16"/>
  <c r="E36" i="16"/>
  <c r="E32" i="16"/>
  <c r="F34" i="16"/>
  <c r="F38" i="16"/>
  <c r="F42" i="16"/>
  <c r="F80" i="16"/>
  <c r="D61" i="10"/>
  <c r="E61" i="10" s="1"/>
  <c r="D57" i="10"/>
  <c r="E57" i="10" s="1"/>
  <c r="D53" i="10"/>
  <c r="E53" i="10" s="1"/>
  <c r="D49" i="10"/>
  <c r="E49" i="10" s="1"/>
  <c r="D45" i="10"/>
  <c r="E45" i="10" s="1"/>
  <c r="D41" i="10"/>
  <c r="E41" i="10" s="1"/>
  <c r="D37" i="10"/>
  <c r="E37" i="10" s="1"/>
  <c r="D110" i="10"/>
  <c r="E110" i="10" s="1"/>
  <c r="D106" i="10"/>
  <c r="E106" i="10" s="1"/>
  <c r="D102" i="10"/>
  <c r="E102" i="10" s="1"/>
  <c r="C50" i="9"/>
  <c r="D50" i="9" s="1"/>
  <c r="C46" i="9"/>
  <c r="D46" i="9" s="1"/>
  <c r="C42" i="9"/>
  <c r="D42" i="9" s="1"/>
  <c r="C38" i="9"/>
  <c r="D38" i="9" s="1"/>
  <c r="C34" i="9"/>
  <c r="D34" i="9" s="1"/>
  <c r="C30" i="9"/>
  <c r="D30" i="9" s="1"/>
  <c r="C26" i="9"/>
  <c r="D26" i="9" s="1"/>
  <c r="C22" i="9"/>
  <c r="D22" i="9" s="1"/>
  <c r="C18" i="9"/>
  <c r="D18" i="9" s="1"/>
  <c r="C14" i="9"/>
  <c r="D14" i="9" s="1"/>
  <c r="E31" i="16"/>
  <c r="E39" i="16"/>
  <c r="E35" i="16"/>
  <c r="F31" i="16"/>
  <c r="F35" i="16"/>
  <c r="F39" i="16"/>
  <c r="D48" i="10"/>
  <c r="E48" i="10" s="1"/>
  <c r="D44" i="10"/>
  <c r="E44" i="10" s="1"/>
  <c r="D40" i="10"/>
  <c r="E40" i="10" s="1"/>
  <c r="D36" i="10"/>
  <c r="E36" i="10" s="1"/>
  <c r="D109" i="10"/>
  <c r="E109" i="10" s="1"/>
  <c r="D105" i="10"/>
  <c r="E105" i="10" s="1"/>
  <c r="D101" i="10"/>
  <c r="E101" i="10" s="1"/>
  <c r="C49" i="9"/>
  <c r="D49" i="9" s="1"/>
  <c r="C45" i="9"/>
  <c r="D45" i="9" s="1"/>
  <c r="C41" i="9"/>
  <c r="D41" i="9" s="1"/>
  <c r="C37" i="9"/>
  <c r="D37" i="9" s="1"/>
  <c r="C33" i="9"/>
  <c r="D33" i="9" s="1"/>
  <c r="C29" i="9"/>
  <c r="D29" i="9" s="1"/>
  <c r="C25" i="9"/>
  <c r="D25" i="9" s="1"/>
  <c r="C21" i="9"/>
  <c r="D21" i="9" s="1"/>
  <c r="C17" i="9"/>
  <c r="D17" i="9" s="1"/>
  <c r="C13" i="9"/>
  <c r="D13" i="9" s="1"/>
  <c r="E42" i="16"/>
  <c r="E38" i="16"/>
  <c r="E34" i="16"/>
  <c r="G34" i="16" s="1"/>
  <c r="F32" i="16"/>
  <c r="F36" i="16"/>
  <c r="F40" i="16"/>
  <c r="D39" i="10"/>
  <c r="E39" i="10" s="1"/>
  <c r="D100" i="10"/>
  <c r="E100" i="10" s="1"/>
  <c r="D108" i="10"/>
  <c r="E108" i="10" s="1"/>
  <c r="C48" i="9"/>
  <c r="D48" i="9" s="1"/>
  <c r="C44" i="9"/>
  <c r="D44" i="9" s="1"/>
  <c r="C40" i="9"/>
  <c r="D40" i="9" s="1"/>
  <c r="C36" i="9"/>
  <c r="D36" i="9" s="1"/>
  <c r="C32" i="9"/>
  <c r="D32" i="9" s="1"/>
  <c r="C28" i="9"/>
  <c r="D28" i="9" s="1"/>
  <c r="C24" i="9"/>
  <c r="D24" i="9" s="1"/>
  <c r="C20" i="9"/>
  <c r="D20" i="9" s="1"/>
  <c r="C16" i="9"/>
  <c r="D16" i="9" s="1"/>
  <c r="E41" i="16"/>
  <c r="G41" i="16" s="1"/>
  <c r="E37" i="16"/>
  <c r="F33" i="16"/>
  <c r="G33" i="16" s="1"/>
  <c r="F37" i="16"/>
  <c r="C90" i="18"/>
  <c r="C91" i="18"/>
  <c r="B71" i="18"/>
  <c r="B70" i="18"/>
  <c r="F78" i="16"/>
  <c r="F79" i="16"/>
  <c r="E78" i="16"/>
  <c r="E79" i="16"/>
  <c r="D15" i="13"/>
  <c r="E15" i="13" s="1"/>
  <c r="D17" i="13"/>
  <c r="E17" i="13" s="1"/>
  <c r="D19" i="13"/>
  <c r="E19" i="13" s="1"/>
  <c r="D21" i="13"/>
  <c r="E21" i="13" s="1"/>
  <c r="D25" i="13"/>
  <c r="E25" i="13" s="1"/>
  <c r="D14" i="13"/>
  <c r="E14" i="13" s="1"/>
  <c r="D16" i="13"/>
  <c r="E16" i="13" s="1"/>
  <c r="D18" i="13"/>
  <c r="E18" i="13" s="1"/>
  <c r="D20" i="13"/>
  <c r="E20" i="13" s="1"/>
  <c r="D22" i="13"/>
  <c r="E22" i="13" s="1"/>
  <c r="AF51" i="11"/>
  <c r="AE51" i="11"/>
  <c r="AC51" i="11"/>
  <c r="AA51" i="11"/>
  <c r="Y51" i="11"/>
  <c r="W51" i="11"/>
  <c r="U51" i="11"/>
  <c r="S51" i="11"/>
  <c r="Q51" i="11"/>
  <c r="O51" i="11"/>
  <c r="M51" i="11"/>
  <c r="K51" i="11"/>
  <c r="I51" i="11"/>
  <c r="G51" i="11"/>
  <c r="E51" i="11"/>
  <c r="AF50" i="11"/>
  <c r="AD50" i="11"/>
  <c r="AB50" i="11"/>
  <c r="Z50" i="11"/>
  <c r="X50" i="11"/>
  <c r="V50" i="11"/>
  <c r="T50" i="11"/>
  <c r="R50" i="11"/>
  <c r="P50" i="11"/>
  <c r="N50" i="11"/>
  <c r="L50" i="11"/>
  <c r="J50" i="11"/>
  <c r="H50" i="11"/>
  <c r="F50" i="11"/>
  <c r="D50" i="11"/>
  <c r="AD51" i="11"/>
  <c r="AB51" i="11"/>
  <c r="Z51" i="11"/>
  <c r="X51" i="11"/>
  <c r="V51" i="11"/>
  <c r="T51" i="11"/>
  <c r="R51" i="11"/>
  <c r="P51" i="11"/>
  <c r="N51" i="11"/>
  <c r="L51" i="11"/>
  <c r="J51" i="11"/>
  <c r="H51" i="11"/>
  <c r="F51" i="11"/>
  <c r="D51" i="11"/>
  <c r="AE50" i="11"/>
  <c r="AC50" i="11"/>
  <c r="AA50" i="11"/>
  <c r="Y50" i="11"/>
  <c r="W50" i="11"/>
  <c r="U50" i="11"/>
  <c r="S50" i="11"/>
  <c r="Q50" i="11"/>
  <c r="O50" i="11"/>
  <c r="M50" i="11"/>
  <c r="K50" i="11"/>
  <c r="I50" i="11"/>
  <c r="G50" i="11"/>
  <c r="E50" i="11"/>
  <c r="C51" i="11"/>
  <c r="C50" i="11"/>
  <c r="C89" i="10"/>
  <c r="D89" i="10" s="1"/>
  <c r="C87" i="10"/>
  <c r="D87" i="10" s="1"/>
  <c r="C85" i="10"/>
  <c r="D85" i="10" s="1"/>
  <c r="C83" i="10"/>
  <c r="D83" i="10" s="1"/>
  <c r="C81" i="10"/>
  <c r="D81" i="10" s="1"/>
  <c r="C79" i="10"/>
  <c r="D79" i="10" s="1"/>
  <c r="C77" i="10"/>
  <c r="D77" i="10" s="1"/>
  <c r="C75" i="10"/>
  <c r="D75" i="10" s="1"/>
  <c r="C73" i="10"/>
  <c r="D73" i="10" s="1"/>
  <c r="C71" i="10"/>
  <c r="D71" i="10" s="1"/>
  <c r="C69" i="10"/>
  <c r="D69" i="10" s="1"/>
  <c r="C88" i="10"/>
  <c r="D88" i="10" s="1"/>
  <c r="C86" i="10"/>
  <c r="D86" i="10" s="1"/>
  <c r="C84" i="10"/>
  <c r="D84" i="10" s="1"/>
  <c r="C82" i="10"/>
  <c r="D82" i="10" s="1"/>
  <c r="C80" i="10"/>
  <c r="D80" i="10" s="1"/>
  <c r="C78" i="10"/>
  <c r="D78" i="10" s="1"/>
  <c r="C76" i="10"/>
  <c r="D76" i="10" s="1"/>
  <c r="C74" i="10"/>
  <c r="D74" i="10" s="1"/>
  <c r="C72" i="10"/>
  <c r="D72" i="10" s="1"/>
  <c r="B43" i="3" l="1"/>
  <c r="C40" i="3"/>
  <c r="E40" i="3" s="1"/>
  <c r="C41" i="3"/>
  <c r="E41" i="3" s="1"/>
  <c r="B44" i="3"/>
  <c r="G38" i="16"/>
  <c r="AE15" i="10"/>
  <c r="G42" i="16"/>
  <c r="C45" i="3"/>
  <c r="E45" i="3" s="1"/>
  <c r="B48" i="3"/>
  <c r="C48" i="3" s="1"/>
  <c r="E48" i="3" s="1"/>
  <c r="G37" i="16"/>
  <c r="G35" i="16"/>
  <c r="G39" i="16"/>
  <c r="G31" i="16"/>
  <c r="G32" i="16"/>
  <c r="G36" i="16"/>
  <c r="G40" i="16"/>
  <c r="Q194" i="22"/>
  <c r="R194" i="22"/>
  <c r="P197" i="22"/>
  <c r="AE25" i="10"/>
  <c r="AE20" i="10"/>
  <c r="AE19" i="10"/>
  <c r="AE74" i="10"/>
  <c r="AE78" i="10"/>
  <c r="AE82" i="10"/>
  <c r="AE86" i="10"/>
  <c r="AE89" i="10"/>
  <c r="AE71" i="10"/>
  <c r="AE75" i="10"/>
  <c r="AE79" i="10"/>
  <c r="AE83" i="10"/>
  <c r="AE87" i="10"/>
  <c r="AE72" i="10"/>
  <c r="AE76" i="10"/>
  <c r="AE80" i="10"/>
  <c r="AE84" i="10"/>
  <c r="AE70" i="10"/>
  <c r="AE88" i="10"/>
  <c r="AE90" i="10"/>
  <c r="AE73" i="10"/>
  <c r="AE77" i="10"/>
  <c r="AE81" i="10"/>
  <c r="AE85" i="10"/>
  <c r="AE101" i="10"/>
  <c r="AE105" i="10"/>
  <c r="AE109" i="10"/>
  <c r="AE102" i="10"/>
  <c r="AE106" i="10"/>
  <c r="AE110" i="10"/>
  <c r="AE103" i="10"/>
  <c r="AE107" i="10"/>
  <c r="AE99" i="10"/>
  <c r="AE100" i="10"/>
  <c r="AE104" i="10"/>
  <c r="AE108" i="10"/>
  <c r="AE26" i="10"/>
  <c r="AE21" i="10"/>
  <c r="AE16" i="10"/>
  <c r="AE22" i="10"/>
  <c r="AE17" i="10"/>
  <c r="AE46" i="10"/>
  <c r="AE50" i="10"/>
  <c r="AE54" i="10"/>
  <c r="AE58" i="10"/>
  <c r="AE62" i="10"/>
  <c r="AE37" i="10"/>
  <c r="AE41" i="10"/>
  <c r="AE33" i="10"/>
  <c r="AE47" i="10"/>
  <c r="AE51" i="10"/>
  <c r="AE55" i="10"/>
  <c r="AE59" i="10"/>
  <c r="AE34" i="10"/>
  <c r="AE38" i="10"/>
  <c r="AE42" i="10"/>
  <c r="AE48" i="10"/>
  <c r="AE52" i="10"/>
  <c r="AE56" i="10"/>
  <c r="AE60" i="10"/>
  <c r="AE35" i="10"/>
  <c r="AE39" i="10"/>
  <c r="AE43" i="10"/>
  <c r="AE45" i="10"/>
  <c r="AE49" i="10"/>
  <c r="AE53" i="10"/>
  <c r="AE57" i="10"/>
  <c r="AE61" i="10"/>
  <c r="AE36" i="10"/>
  <c r="AE40" i="10"/>
  <c r="AE44" i="10"/>
  <c r="B64" i="16"/>
  <c r="B68" i="16" s="1"/>
  <c r="B73" i="18"/>
  <c r="B82" i="16"/>
  <c r="B102" i="16" s="1"/>
  <c r="F61" i="11"/>
  <c r="N64" i="11"/>
  <c r="V61" i="11"/>
  <c r="AD64" i="11"/>
  <c r="J60" i="11"/>
  <c r="R55" i="11"/>
  <c r="Z60" i="11"/>
  <c r="C53" i="11"/>
  <c r="E64" i="11"/>
  <c r="I64" i="11"/>
  <c r="M64" i="11"/>
  <c r="Q64" i="11"/>
  <c r="U64" i="11"/>
  <c r="Y64" i="11"/>
  <c r="AC64" i="11"/>
  <c r="AF61" i="11"/>
  <c r="N56" i="11"/>
  <c r="AD56" i="11"/>
  <c r="R60" i="11"/>
  <c r="F64" i="11"/>
  <c r="V64" i="11"/>
  <c r="J55" i="11"/>
  <c r="Z55" i="11"/>
  <c r="N61" i="11"/>
  <c r="AD61" i="11"/>
  <c r="G64" i="11"/>
  <c r="K64" i="11"/>
  <c r="O64" i="11"/>
  <c r="S64" i="11"/>
  <c r="W64" i="11"/>
  <c r="AA64" i="11"/>
  <c r="AE64" i="11"/>
  <c r="F56" i="11"/>
  <c r="V56" i="11"/>
  <c r="D61" i="11"/>
  <c r="H61" i="11"/>
  <c r="L61" i="11"/>
  <c r="P61" i="11"/>
  <c r="T61" i="11"/>
  <c r="X61" i="11"/>
  <c r="AB61" i="11"/>
  <c r="G62" i="11"/>
  <c r="K62" i="11"/>
  <c r="O62" i="11"/>
  <c r="S62" i="11"/>
  <c r="W58" i="11"/>
  <c r="AA62" i="11"/>
  <c r="AE62" i="11"/>
  <c r="F63" i="11"/>
  <c r="J63" i="11"/>
  <c r="N63" i="11"/>
  <c r="R63" i="11"/>
  <c r="V63" i="11"/>
  <c r="Z63" i="11"/>
  <c r="AD63" i="11"/>
  <c r="J56" i="11"/>
  <c r="R56" i="11"/>
  <c r="Z56" i="11"/>
  <c r="F60" i="11"/>
  <c r="N60" i="11"/>
  <c r="V60" i="11"/>
  <c r="AD60" i="11"/>
  <c r="J64" i="11"/>
  <c r="R64" i="11"/>
  <c r="Z64" i="11"/>
  <c r="F55" i="11"/>
  <c r="N55" i="11"/>
  <c r="V55" i="11"/>
  <c r="AD55" i="11"/>
  <c r="J61" i="11"/>
  <c r="R61" i="11"/>
  <c r="Z61" i="11"/>
  <c r="E53" i="11"/>
  <c r="I53" i="11"/>
  <c r="M53" i="11"/>
  <c r="Q53" i="11"/>
  <c r="U53" i="11"/>
  <c r="Y53" i="11"/>
  <c r="AC53" i="11"/>
  <c r="D54" i="11"/>
  <c r="H54" i="11"/>
  <c r="L54" i="11"/>
  <c r="P54" i="11"/>
  <c r="T54" i="11"/>
  <c r="X54" i="11"/>
  <c r="AB54" i="11"/>
  <c r="AF54" i="11"/>
  <c r="G55" i="11"/>
  <c r="K55" i="11"/>
  <c r="O55" i="11"/>
  <c r="S55" i="11"/>
  <c r="W55" i="11"/>
  <c r="AA55" i="11"/>
  <c r="AE55" i="11"/>
  <c r="E57" i="11"/>
  <c r="I57" i="11"/>
  <c r="M57" i="11"/>
  <c r="Q57" i="11"/>
  <c r="U57" i="11"/>
  <c r="Y57" i="11"/>
  <c r="AC57" i="11"/>
  <c r="D58" i="11"/>
  <c r="H58" i="11"/>
  <c r="L58" i="11"/>
  <c r="P58" i="11"/>
  <c r="T58" i="11"/>
  <c r="X58" i="11"/>
  <c r="AB58" i="11"/>
  <c r="AF58" i="11"/>
  <c r="G59" i="11"/>
  <c r="K59" i="11"/>
  <c r="O59" i="11"/>
  <c r="S59" i="11"/>
  <c r="W59" i="11"/>
  <c r="AA59" i="11"/>
  <c r="AE59" i="11"/>
  <c r="E61" i="11"/>
  <c r="I61" i="11"/>
  <c r="M61" i="11"/>
  <c r="Q61" i="11"/>
  <c r="U61" i="11"/>
  <c r="Y61" i="11"/>
  <c r="AC61" i="11"/>
  <c r="D62" i="11"/>
  <c r="H62" i="11"/>
  <c r="L62" i="11"/>
  <c r="P62" i="11"/>
  <c r="T62" i="11"/>
  <c r="X62" i="11"/>
  <c r="AB62" i="11"/>
  <c r="AF62" i="11"/>
  <c r="G63" i="11"/>
  <c r="K63" i="11"/>
  <c r="O63" i="11"/>
  <c r="S63" i="11"/>
  <c r="W63" i="11"/>
  <c r="AA63" i="11"/>
  <c r="AE63" i="11"/>
  <c r="D53" i="11"/>
  <c r="H53" i="11"/>
  <c r="L53" i="11"/>
  <c r="P53" i="11"/>
  <c r="T53" i="11"/>
  <c r="X53" i="11"/>
  <c r="AB53" i="11"/>
  <c r="AF53" i="11"/>
  <c r="G54" i="11"/>
  <c r="K54" i="11"/>
  <c r="O54" i="11"/>
  <c r="S54" i="11"/>
  <c r="W54" i="11"/>
  <c r="AA54" i="11"/>
  <c r="AE54" i="11"/>
  <c r="E56" i="11"/>
  <c r="I56" i="11"/>
  <c r="M56" i="11"/>
  <c r="Q56" i="11"/>
  <c r="U56" i="11"/>
  <c r="Y56" i="11"/>
  <c r="AC56" i="11"/>
  <c r="D57" i="11"/>
  <c r="H57" i="11"/>
  <c r="L57" i="11"/>
  <c r="P57" i="11"/>
  <c r="T57" i="11"/>
  <c r="X57" i="11"/>
  <c r="AB57" i="11"/>
  <c r="AF57" i="11"/>
  <c r="G58" i="11"/>
  <c r="K58" i="11"/>
  <c r="O58" i="11"/>
  <c r="S58" i="11"/>
  <c r="Y58" i="11"/>
  <c r="AC58" i="11"/>
  <c r="D59" i="11"/>
  <c r="H59" i="11"/>
  <c r="L59" i="11"/>
  <c r="P59" i="11"/>
  <c r="T59" i="11"/>
  <c r="X59" i="11"/>
  <c r="AB59" i="11"/>
  <c r="AF59" i="11"/>
  <c r="G60" i="11"/>
  <c r="K60" i="11"/>
  <c r="O60" i="11"/>
  <c r="S60" i="11"/>
  <c r="W60" i="11"/>
  <c r="AA60" i="11"/>
  <c r="AE60" i="11"/>
  <c r="E62" i="11"/>
  <c r="I62" i="11"/>
  <c r="M62" i="11"/>
  <c r="Q62" i="11"/>
  <c r="U62" i="11"/>
  <c r="Y62" i="11"/>
  <c r="AC62" i="11"/>
  <c r="D63" i="11"/>
  <c r="H63" i="11"/>
  <c r="L63" i="11"/>
  <c r="P63" i="11"/>
  <c r="T63" i="11"/>
  <c r="X63" i="11"/>
  <c r="AB63" i="11"/>
  <c r="AF63" i="11"/>
  <c r="G53" i="11"/>
  <c r="K53" i="11"/>
  <c r="O53" i="11"/>
  <c r="S53" i="11"/>
  <c r="W53" i="11"/>
  <c r="AA53" i="11"/>
  <c r="AE53" i="11"/>
  <c r="F54" i="11"/>
  <c r="J54" i="11"/>
  <c r="N54" i="11"/>
  <c r="R54" i="11"/>
  <c r="V54" i="11"/>
  <c r="Z54" i="11"/>
  <c r="AD54" i="11"/>
  <c r="E55" i="11"/>
  <c r="I55" i="11"/>
  <c r="M55" i="11"/>
  <c r="Q55" i="11"/>
  <c r="U55" i="11"/>
  <c r="Y55" i="11"/>
  <c r="AC55" i="11"/>
  <c r="D56" i="11"/>
  <c r="H56" i="11"/>
  <c r="L56" i="11"/>
  <c r="P56" i="11"/>
  <c r="T56" i="11"/>
  <c r="X56" i="11"/>
  <c r="AB56" i="11"/>
  <c r="AF56" i="11"/>
  <c r="G57" i="11"/>
  <c r="K57" i="11"/>
  <c r="O57" i="11"/>
  <c r="S57" i="11"/>
  <c r="W57" i="11"/>
  <c r="AA57" i="11"/>
  <c r="AE57" i="11"/>
  <c r="F58" i="11"/>
  <c r="J58" i="11"/>
  <c r="N58" i="11"/>
  <c r="R58" i="11"/>
  <c r="V58" i="11"/>
  <c r="Z58" i="11"/>
  <c r="AD58" i="11"/>
  <c r="E59" i="11"/>
  <c r="I59" i="11"/>
  <c r="M59" i="11"/>
  <c r="Q59" i="11"/>
  <c r="U59" i="11"/>
  <c r="Y59" i="11"/>
  <c r="AC59" i="11"/>
  <c r="D60" i="11"/>
  <c r="H60" i="11"/>
  <c r="L60" i="11"/>
  <c r="P60" i="11"/>
  <c r="T60" i="11"/>
  <c r="X60" i="11"/>
  <c r="AB60" i="11"/>
  <c r="AF60" i="11"/>
  <c r="G61" i="11"/>
  <c r="K61" i="11"/>
  <c r="O61" i="11"/>
  <c r="S61" i="11"/>
  <c r="W61" i="11"/>
  <c r="AA61" i="11"/>
  <c r="AE61" i="11"/>
  <c r="F62" i="11"/>
  <c r="J62" i="11"/>
  <c r="N62" i="11"/>
  <c r="R62" i="11"/>
  <c r="V62" i="11"/>
  <c r="Z62" i="11"/>
  <c r="AD62" i="11"/>
  <c r="E63" i="11"/>
  <c r="I63" i="11"/>
  <c r="M63" i="11"/>
  <c r="Q63" i="11"/>
  <c r="U63" i="11"/>
  <c r="Y63" i="11"/>
  <c r="AC63" i="11"/>
  <c r="D64" i="11"/>
  <c r="H64" i="11"/>
  <c r="L64" i="11"/>
  <c r="P64" i="11"/>
  <c r="T64" i="11"/>
  <c r="X64" i="11"/>
  <c r="AB64" i="11"/>
  <c r="AF64" i="11"/>
  <c r="F53" i="11"/>
  <c r="J53" i="11"/>
  <c r="N53" i="11"/>
  <c r="R53" i="11"/>
  <c r="V53" i="11"/>
  <c r="Z53" i="11"/>
  <c r="AD53" i="11"/>
  <c r="E54" i="11"/>
  <c r="I54" i="11"/>
  <c r="M54" i="11"/>
  <c r="Q54" i="11"/>
  <c r="U54" i="11"/>
  <c r="Y54" i="11"/>
  <c r="AC54" i="11"/>
  <c r="D55" i="11"/>
  <c r="H55" i="11"/>
  <c r="L55" i="11"/>
  <c r="P55" i="11"/>
  <c r="T55" i="11"/>
  <c r="X55" i="11"/>
  <c r="AB55" i="11"/>
  <c r="AF55" i="11"/>
  <c r="G56" i="11"/>
  <c r="K56" i="11"/>
  <c r="O56" i="11"/>
  <c r="S56" i="11"/>
  <c r="W56" i="11"/>
  <c r="AA56" i="11"/>
  <c r="AE56" i="11"/>
  <c r="F57" i="11"/>
  <c r="J57" i="11"/>
  <c r="N57" i="11"/>
  <c r="R57" i="11"/>
  <c r="V57" i="11"/>
  <c r="Z57" i="11"/>
  <c r="AD57" i="11"/>
  <c r="E58" i="11"/>
  <c r="I58" i="11"/>
  <c r="M58" i="11"/>
  <c r="Q58" i="11"/>
  <c r="U58" i="11"/>
  <c r="AA58" i="11"/>
  <c r="AE58" i="11"/>
  <c r="F59" i="11"/>
  <c r="J59" i="11"/>
  <c r="N59" i="11"/>
  <c r="R59" i="11"/>
  <c r="V59" i="11"/>
  <c r="Z59" i="11"/>
  <c r="AD59" i="11"/>
  <c r="E60" i="11"/>
  <c r="I60" i="11"/>
  <c r="M60" i="11"/>
  <c r="Q60" i="11"/>
  <c r="U60" i="11"/>
  <c r="Y60" i="11"/>
  <c r="AC60" i="11"/>
  <c r="W62" i="11"/>
  <c r="C54" i="11"/>
  <c r="C58" i="11"/>
  <c r="C62" i="11"/>
  <c r="C55" i="11"/>
  <c r="C59" i="11"/>
  <c r="C63" i="11"/>
  <c r="C56" i="11"/>
  <c r="C60" i="11"/>
  <c r="C64" i="11"/>
  <c r="C57" i="11"/>
  <c r="C61" i="11"/>
  <c r="D77" i="11"/>
  <c r="D76" i="11"/>
  <c r="B47" i="3" l="1"/>
  <c r="C47" i="3" s="1"/>
  <c r="E47" i="3" s="1"/>
  <c r="C44" i="3"/>
  <c r="E44" i="3" s="1"/>
  <c r="B46" i="3"/>
  <c r="C43" i="3"/>
  <c r="E43" i="3" s="1"/>
  <c r="B62" i="16"/>
  <c r="Q197" i="22"/>
  <c r="R197" i="22"/>
  <c r="P200" i="22"/>
  <c r="X67" i="11"/>
  <c r="X66" i="11"/>
  <c r="P67" i="11"/>
  <c r="P66" i="11"/>
  <c r="H67" i="11"/>
  <c r="H66" i="11"/>
  <c r="Y66" i="11"/>
  <c r="Y67" i="11"/>
  <c r="Q66" i="11"/>
  <c r="Q67" i="11"/>
  <c r="I66" i="11"/>
  <c r="I67" i="11"/>
  <c r="Z67" i="11"/>
  <c r="Z66" i="11"/>
  <c r="R67" i="11"/>
  <c r="R66" i="11"/>
  <c r="J67" i="11"/>
  <c r="J66" i="11"/>
  <c r="AA66" i="11"/>
  <c r="AA67" i="11"/>
  <c r="S66" i="11"/>
  <c r="S67" i="11"/>
  <c r="K66" i="11"/>
  <c r="K67" i="11"/>
  <c r="AB67" i="11"/>
  <c r="AB66" i="11"/>
  <c r="T67" i="11"/>
  <c r="T66" i="11"/>
  <c r="L67" i="11"/>
  <c r="L66" i="11"/>
  <c r="D67" i="11"/>
  <c r="D66" i="11"/>
  <c r="AC66" i="11"/>
  <c r="AC67" i="11"/>
  <c r="U66" i="11"/>
  <c r="U67" i="11"/>
  <c r="M66" i="11"/>
  <c r="M67" i="11"/>
  <c r="E66" i="11"/>
  <c r="E67" i="11"/>
  <c r="AF67" i="11"/>
  <c r="AF66" i="11"/>
  <c r="AD67" i="11"/>
  <c r="AD66" i="11"/>
  <c r="V67" i="11"/>
  <c r="V66" i="11"/>
  <c r="N67" i="11"/>
  <c r="N66" i="11"/>
  <c r="F67" i="11"/>
  <c r="F66" i="11"/>
  <c r="AE66" i="11"/>
  <c r="AE67" i="11"/>
  <c r="W66" i="11"/>
  <c r="W67" i="11"/>
  <c r="O66" i="11"/>
  <c r="O67" i="11"/>
  <c r="G66" i="11"/>
  <c r="G67" i="11"/>
  <c r="C67" i="11"/>
  <c r="C66" i="11"/>
  <c r="C46" i="3" l="1"/>
  <c r="E46" i="3" s="1"/>
  <c r="B49" i="3"/>
  <c r="C49" i="3" s="1"/>
  <c r="E49" i="3" s="1"/>
  <c r="Q200" i="22"/>
  <c r="R200" i="22"/>
  <c r="P203" i="22"/>
  <c r="D73" i="11"/>
  <c r="D74" i="11"/>
  <c r="Q203" i="22" l="1"/>
  <c r="R203" i="22"/>
  <c r="H74" i="11"/>
  <c r="H73" i="11"/>
  <c r="C31" i="5" l="1"/>
  <c r="B31" i="5"/>
  <c r="C30" i="5"/>
  <c r="B30" i="5"/>
  <c r="D9" i="5"/>
  <c r="D8" i="5"/>
  <c r="F64" i="4"/>
  <c r="F65" i="4"/>
  <c r="F66" i="4"/>
  <c r="F67" i="4"/>
  <c r="F68" i="4"/>
  <c r="F69" i="4"/>
  <c r="F70" i="4"/>
  <c r="F71" i="4"/>
  <c r="F72" i="4"/>
  <c r="F73" i="4"/>
  <c r="F74" i="4"/>
  <c r="F63" i="4"/>
  <c r="D64" i="4"/>
  <c r="E64" i="4" s="1"/>
  <c r="D65" i="4"/>
  <c r="E65" i="4" s="1"/>
  <c r="D66" i="4"/>
  <c r="E66" i="4" s="1"/>
  <c r="D67" i="4"/>
  <c r="E67" i="4" s="1"/>
  <c r="D68" i="4"/>
  <c r="E68" i="4" s="1"/>
  <c r="D69" i="4"/>
  <c r="E69" i="4" s="1"/>
  <c r="D70" i="4"/>
  <c r="E70" i="4" s="1"/>
  <c r="D71" i="4"/>
  <c r="E71" i="4" s="1"/>
  <c r="D72" i="4"/>
  <c r="E72" i="4" s="1"/>
  <c r="D73" i="4"/>
  <c r="E73" i="4" s="1"/>
  <c r="D74" i="4"/>
  <c r="E74" i="4" s="1"/>
  <c r="D63" i="4"/>
  <c r="E63" i="4" s="1"/>
  <c r="C25" i="3"/>
  <c r="D25" i="3"/>
  <c r="C21" i="3"/>
  <c r="D21" i="3"/>
  <c r="C22" i="3"/>
  <c r="D22" i="3"/>
  <c r="C23" i="3"/>
  <c r="D23" i="3"/>
  <c r="C24" i="3"/>
  <c r="D24" i="3"/>
  <c r="D20" i="3"/>
  <c r="C20" i="3"/>
  <c r="D14" i="5" l="1"/>
  <c r="D15" i="5"/>
  <c r="E24" i="3"/>
  <c r="E22" i="3"/>
  <c r="E25" i="3"/>
  <c r="D13" i="5"/>
  <c r="D21" i="5"/>
  <c r="D17" i="5"/>
  <c r="D24" i="5"/>
  <c r="D20" i="5"/>
  <c r="D16" i="5"/>
  <c r="E21" i="3"/>
  <c r="D23" i="5"/>
  <c r="D19" i="5"/>
  <c r="D22" i="5"/>
  <c r="D18" i="5"/>
  <c r="E81" i="4"/>
  <c r="E76" i="4"/>
  <c r="E20" i="3"/>
  <c r="E23" i="3"/>
</calcChain>
</file>

<file path=xl/comments1.xml><?xml version="1.0" encoding="utf-8"?>
<comments xmlns="http://schemas.openxmlformats.org/spreadsheetml/2006/main">
  <authors>
    <author>Andrew M Ross</author>
  </authors>
  <commentList>
    <comment ref="D20" authorId="0">
      <text>
        <r>
          <rPr>
            <b/>
            <sz val="8"/>
            <color indexed="81"/>
            <rFont val="Tahoma"/>
            <family val="2"/>
          </rPr>
          <t>Andrew M Ross:</t>
        </r>
        <r>
          <rPr>
            <sz val="8"/>
            <color indexed="81"/>
            <rFont val="Tahoma"/>
            <family val="2"/>
          </rPr>
          <t xml:space="preserve">
norminv(rand(),0,1) generates a Standard Normal (mean 0, std.dev)=1; then we multiply it by the noise size that we want, "sigma", to change the standard deviation.
Yes, we could put sigma where the 1 is in the formula, but my way is better: we can set sigma=0 to eliminate noise, and it will still work.
</t>
        </r>
      </text>
    </comment>
  </commentList>
</comments>
</file>

<file path=xl/sharedStrings.xml><?xml version="1.0" encoding="utf-8"?>
<sst xmlns="http://schemas.openxmlformats.org/spreadsheetml/2006/main" count="1256" uniqueCount="857">
  <si>
    <t>temperature, C</t>
  </si>
  <si>
    <t>FT_Teachers_Avg</t>
  </si>
  <si>
    <t>Students/Teacher</t>
  </si>
  <si>
    <t>Year</t>
  </si>
  <si>
    <t># increase to t+10</t>
  </si>
  <si>
    <t>We want to summarize these and other data sets each with a simple equation, called a "mathematical model".</t>
  </si>
  <si>
    <t>The model should give a general trend or be an approximation of what's really going on in the data set.</t>
  </si>
  <si>
    <t>We can then use the model to make predictions or to inform decisions.</t>
  </si>
  <si>
    <t>We sometimes call the hidden underlying trend the "signal".</t>
  </si>
  <si>
    <t>But we can't ever see the real signal exactly. It has randomness added to it which we call "noise".</t>
  </si>
  <si>
    <t>Think of listening to the (analog) radio: you'd like to hear exactly what they are transmitting (the signal), but there's always a little static (noise).</t>
  </si>
  <si>
    <t>Three pictures to keep in mind are shown below.</t>
  </si>
  <si>
    <t>Oxygen gas, simulated data.</t>
  </si>
  <si>
    <t>Real data on 30 public school districts in Pennsylvania, for one year, circa 2005.</t>
  </si>
  <si>
    <t>data derived from real US census population data.</t>
  </si>
  <si>
    <t>One of the most common mathematical models is a straight line,</t>
  </si>
  <si>
    <t>y = m * x + b</t>
  </si>
  <si>
    <t>But in statistics, we usually write it as</t>
  </si>
  <si>
    <t>y = beta_0 + beta_1 * x</t>
  </si>
  <si>
    <t>We still call beta_0 the y-intercept and beta_1 the slope.</t>
  </si>
  <si>
    <t>We use greek letters because they are parameters that we will never know the true value of, if the data set is real.</t>
  </si>
  <si>
    <t>Why do we use subscripts on the betas? There are two good reasons:</t>
  </si>
  <si>
    <t>* if we're imagining extending our linear model to polynomials, we could say that:</t>
  </si>
  <si>
    <t>beta_0 is the coefficient on an x^0 (x-to-the-zero) term;</t>
  </si>
  <si>
    <t>beta_1 is the coefficient on an x^1 (x-to-the-1, or linear) term;</t>
  </si>
  <si>
    <t>beta_2 would then be the coefficient on x^2, etc.</t>
  </si>
  <si>
    <t>* or, if we're imagining extending our model to include other x variables, we'd say</t>
  </si>
  <si>
    <t>beta_1 is the coefficient on variable x_1,</t>
  </si>
  <si>
    <t>beta_2 is the coefficient on variable x_2, etc.</t>
  </si>
  <si>
    <t>But this model has no randomness! It is predicting only the average response at any particular x value.</t>
  </si>
  <si>
    <t>Y = beta_0 + beta_1 * x + epsilon</t>
  </si>
  <si>
    <t>Here, "epsilon" is the noise term. It should have a mean of 0 and a standard deviation of "sigma" (another parameter we'll never know exactly).</t>
  </si>
  <si>
    <t>epsilon should be different (and independent of everything else) for each data point.</t>
  </si>
  <si>
    <t>To model our data, we add a term to account for randomness (now we use a capital Y to show that it's a random variable):</t>
  </si>
  <si>
    <t>BIG ASSUMPTION: epsilon has the same standard deviation regardless of the value of x.</t>
  </si>
  <si>
    <t>But in biology, psychology, sociology, etc. it's unfair to call the noise "error", since error sounds bad. It's just randomness or noise.</t>
  </si>
  <si>
    <t>sigma^2 is sometimes called the error variance, noise variance, or residual variance.</t>
  </si>
  <si>
    <t>Though technically it's not exactly the variance of the residuals--we'll talk about that later.</t>
  </si>
  <si>
    <t>In a careful physics/chem/engineering experiment, a big component of epsilon is often the measurement error.</t>
  </si>
  <si>
    <t>Sometimes instead of y we write E(Y) or mu_(Y|x) which means "the mean value of the response variable Y given a particular x value".</t>
  </si>
  <si>
    <t>Fitting a model to a data set is called "regression".</t>
  </si>
  <si>
    <t>They are both called "regression coefficients".</t>
  </si>
  <si>
    <t>We're looking to estimate what that signal is (often assuming the signal is linear), despite the noise.</t>
  </si>
  <si>
    <t>Both of these are also good reasons to list the y-intercept first, then the beta_1 term, etc.</t>
  </si>
  <si>
    <t>instead of slope-then-intercept as in m*x+b.</t>
  </si>
  <si>
    <t>trial#</t>
  </si>
  <si>
    <t>district#</t>
  </si>
  <si>
    <t>volume, L</t>
  </si>
  <si>
    <t>then drag down and over to highlight the data you want to plot.</t>
  </si>
  <si>
    <t>Do NOT use the "line" chart type.</t>
  </si>
  <si>
    <t>This model represents the "true" regression line--what we would see if there was no noise,</t>
  </si>
  <si>
    <t>or if we took an infinite amount of data and averaged it at each x value.</t>
  </si>
  <si>
    <t>y=beta_0 + beta_1 * x</t>
  </si>
  <si>
    <t>and</t>
  </si>
  <si>
    <t>to life, we're going to simulate them here.</t>
  </si>
  <si>
    <t>x</t>
  </si>
  <si>
    <t>sigma</t>
  </si>
  <si>
    <t>Name some differences between them here. Think about the x values in particular.</t>
  </si>
  <si>
    <t>To bring the equations</t>
  </si>
  <si>
    <t>Notice the signal doesn't change at all when you do that.</t>
  </si>
  <si>
    <t>Y=beta_0 + beta_1 * x  + epsilon</t>
  </si>
  <si>
    <t>You should investigate each formula in the boxed cells.</t>
  </si>
  <si>
    <t>Atlanta</t>
  </si>
  <si>
    <t>Boston</t>
  </si>
  <si>
    <t>Chicago</t>
  </si>
  <si>
    <t>Dallas/Fort Worth</t>
  </si>
  <si>
    <t>Detroit</t>
  </si>
  <si>
    <t>Denver</t>
  </si>
  <si>
    <t>Miami</t>
  </si>
  <si>
    <t>New Orleans</t>
  </si>
  <si>
    <t>New York</t>
  </si>
  <si>
    <t>Orlando</t>
  </si>
  <si>
    <t>Pittsburgh</t>
  </si>
  <si>
    <t>St. Louis</t>
  </si>
  <si>
    <t>Distance(miles)</t>
  </si>
  <si>
    <t>Airfare ($)</t>
  </si>
  <si>
    <t>data from "Airfare.ftm"</t>
  </si>
  <si>
    <t>Cost of flights starting at Baltimore.</t>
  </si>
  <si>
    <t>Destination</t>
  </si>
  <si>
    <t>yhat</t>
  </si>
  <si>
    <t>prediction</t>
  </si>
  <si>
    <t>b_0</t>
  </si>
  <si>
    <t>b_1</t>
  </si>
  <si>
    <t>residual</t>
  </si>
  <si>
    <t>e_i</t>
  </si>
  <si>
    <t>sum of squared residuals</t>
  </si>
  <si>
    <t>run</t>
  </si>
  <si>
    <t>rise</t>
  </si>
  <si>
    <t>slope</t>
  </si>
  <si>
    <t>intercept:</t>
  </si>
  <si>
    <t>It is good form to use words to describe variables instead of the generic yhat = b_0 + b_1 * x:</t>
  </si>
  <si>
    <t>airfair(hat)</t>
  </si>
  <si>
    <t>=</t>
  </si>
  <si>
    <t>yhat_i = b_0 + b_1 * x_i</t>
  </si>
  <si>
    <t>_________</t>
  </si>
  <si>
    <t>+</t>
  </si>
  <si>
    <t>*</t>
  </si>
  <si>
    <t>distance</t>
  </si>
  <si>
    <t>copy from part (i) above.</t>
  </si>
  <si>
    <t>by-hand guesses;</t>
  </si>
  <si>
    <t>Best possible values;</t>
  </si>
  <si>
    <t>copy by retyping from Trendline equation.</t>
  </si>
  <si>
    <t>(fill in this formula yourself)</t>
  </si>
  <si>
    <t>In the options near the bottom of the dialog box, choose "Show Equation" and "Show R^2"</t>
  </si>
  <si>
    <t>(We'll discuss what R^2 means later).</t>
  </si>
  <si>
    <t>sum of residuals (not squared)</t>
  </si>
  <si>
    <t>What do you notice about the sum of (non-squared) residuals,</t>
  </si>
  <si>
    <t>What do you notice about the sum of squared residuals,</t>
  </si>
  <si>
    <t>from your estimated slope&amp;intercept vs. what Excel computed?</t>
  </si>
  <si>
    <t>Outliers &amp; Influential Points</t>
  </si>
  <si>
    <t>An x-outlier is a data point whose x-coordinate is far outside the region where the other data points are,</t>
  </si>
  <si>
    <t>ignoring all y-values.</t>
  </si>
  <si>
    <t>An influential point is one that pulls the regression line toward itself a substantial amount:</t>
  </si>
  <si>
    <t>if it is deleted, then the line changes quite a bit.</t>
  </si>
  <si>
    <t>median x,y</t>
  </si>
  <si>
    <t>if I had, they would have looked like they were part of the original data set.</t>
  </si>
  <si>
    <t>Finish this sentence: The least-squares line goes through</t>
  </si>
  <si>
    <t>A data point can be an outlier without being an influential point, or vice versa, or perhaps both, or neither.</t>
  </si>
  <si>
    <t>Here are some copies of the airfare data set. Modify them as requested.</t>
  </si>
  <si>
    <t>Leave this first data set as it is, the original data.</t>
  </si>
  <si>
    <t>Describe the effect on the regression line:</t>
  </si>
  <si>
    <t>Best-fit values via =INTERCEPT and =SLOPE:</t>
  </si>
  <si>
    <t>http://www.itl.nist.gov/div898/handbook/eda/section3/6plot.htm</t>
  </si>
  <si>
    <t>The 6-plot is a collection of 6 specific graphical techniques whose purpose is to assess the validity of a Y versus X fit. The fit can be a linear fit, a non-linear fit, a LOWESS (locally weighted least squares) fit, a spline fit, or any other fit utilizing a single independent variable.</t>
  </si>
  <si>
    <t>The 6 plots are:</t>
  </si>
  <si>
    <t>1. Scatter plot of the response and predicted values versus the independent variable;</t>
  </si>
  <si>
    <t>2. Scatter plot of the residuals versus the independent variable;</t>
  </si>
  <si>
    <t>3. Scatter plot of the residuals versus the predicted values;</t>
  </si>
  <si>
    <t>4. Lag plot of the residuals;</t>
  </si>
  <si>
    <t>5. Histogram of the residuals;</t>
  </si>
  <si>
    <t>6. Normal probability plot of the residuals.</t>
  </si>
  <si>
    <t>The 6-plot consists of the following:</t>
  </si>
  <si>
    <t>1. Response and predicted values</t>
  </si>
  <si>
    <t>Vertical axis: Response variable, predicted values</t>
  </si>
  <si>
    <t>Horizontal axis: Independent variable</t>
  </si>
  <si>
    <t>2. Residuals versus independent variable</t>
  </si>
  <si>
    <t>Vertical axis: Residuals</t>
  </si>
  <si>
    <t>3. Residuals versus predicted values</t>
  </si>
  <si>
    <t>Horizontal axis: Predicted values</t>
  </si>
  <si>
    <t>4. Lag plot of residuals</t>
  </si>
  <si>
    <t>Vertical axis: RES(I)</t>
  </si>
  <si>
    <t>Horizontal axis: RES(I-1)</t>
  </si>
  <si>
    <t>5. Histogram of residuals</t>
  </si>
  <si>
    <t>Vertical axis: Counts</t>
  </si>
  <si>
    <t>Horizontal axis: Residual values</t>
  </si>
  <si>
    <t>6. Normal probability plot of residuals</t>
  </si>
  <si>
    <t>Vertical axis: Ordered residuals</t>
  </si>
  <si>
    <t>Horizontal axis: Theoretical values from a normal N(0,1) distribution for ordered residuals</t>
  </si>
  <si>
    <t>The 6-plot can be used to answer the following questions:</t>
  </si>
  <si>
    <t>1. Are the residuals approximately normally distributed with a fixed location and scale?</t>
  </si>
  <si>
    <t>2. Are there outliers?</t>
  </si>
  <si>
    <t>3. Is the fit adequate?</t>
  </si>
  <si>
    <t>4. Do the residuals suggest a better fit?</t>
  </si>
  <si>
    <t>A model involving a response variable and a single independent variable has the form:</t>
  </si>
  <si>
    <r>
      <t>where Y is the response variable, X is the independent variable, </t>
    </r>
    <r>
      <rPr>
        <i/>
        <sz val="14"/>
        <color rgb="FF000000"/>
        <rFont val="Times New Roman"/>
        <family val="1"/>
      </rPr>
      <t>f</t>
    </r>
    <r>
      <rPr>
        <sz val="14"/>
        <color rgb="FF000000"/>
        <rFont val="Times New Roman"/>
        <family val="1"/>
      </rPr>
      <t>is the linear or non-linear fit function, and E is the random component. For a good model, the error component should behave like:</t>
    </r>
  </si>
  <si>
    <t>1. random drawings (i.e., independent);</t>
  </si>
  <si>
    <t>2. from a fixed distribution;</t>
  </si>
  <si>
    <t>3. with fixed location; and</t>
  </si>
  <si>
    <t>4. with fixed variation.</t>
  </si>
  <si>
    <t>In addition, for fitting models it is usually further assumed that the fixed distribution is normal and the fixed location is zero. For a good model the fixed variation should be as small as possible. A necessary component of fitting models is to verify these assumptions for the error component and to assess whether the variation for the error component is sufficiently small. The histogram, lag plot, and normal probability plot are used to verify the fixed distribution, location, and variation assumptions on the error component. The plot of the response variable and the predicted values versus the independent variable is used to assess whether the variation is sufficiently small. The plots of the residuals versus the independent variable and the predicted values is used to assess the independence assumption.</t>
  </si>
  <si>
    <t>Assessing the validity and quality of the fit in terms of the above assumptions is an absolutely vital part of the model-fitting process. No fit should be considered complete without an adequate model validation step.</t>
  </si>
  <si>
    <t>Note to those who care about how we generate Normal random values:</t>
  </si>
  <si>
    <t>(usually other faculty)</t>
  </si>
  <si>
    <t>I know that using =norminv(rand(),0,1) is not the fastest or most accurate way to do it.</t>
  </si>
  <si>
    <t>However, it does make it clear that we are doing something related to the Normal distribution,</t>
  </si>
  <si>
    <t>which is a big advantage when doing little classroom stuff like this.</t>
  </si>
  <si>
    <t>Recall that on a previous sheet we computed the residuals. Now it's time to look at them in graphs.</t>
  </si>
  <si>
    <t>intercept</t>
  </si>
  <si>
    <t>predicted values=</t>
  </si>
  <si>
    <t>Some of them look like we hope they would, and others don't. We'll talk about that after looking at them.</t>
  </si>
  <si>
    <t>Here are the things we hope to see in the residuals.</t>
  </si>
  <si>
    <t>Indicate for each data set whether we see them or not.</t>
  </si>
  <si>
    <t>Residuals are approximately normally distributed</t>
  </si>
  <si>
    <t>No outliers</t>
  </si>
  <si>
    <t>No pattern visible, which includes:</t>
  </si>
  <si>
    <t>mean is about 0 for all values of x or yhat</t>
  </si>
  <si>
    <t>variability is about the same for all values of x or yhat</t>
  </si>
  <si>
    <t>(no funnelling/trumpeting)</t>
  </si>
  <si>
    <t>When we view the residuals, are we looking at the signal or the noise?</t>
  </si>
  <si>
    <t>Oxygen gas</t>
  </si>
  <si>
    <t>School data</t>
  </si>
  <si>
    <t>US Growth</t>
  </si>
  <si>
    <t>Airfare</t>
  </si>
  <si>
    <t>Why would we want to spend time looking at that?</t>
  </si>
  <si>
    <t>What do you notice about the R^2 value?</t>
  </si>
  <si>
    <t>Did the trendline actually show up on the graph? Where is it?</t>
  </si>
  <si>
    <t>type a "yes" or "no" in each cell. Actually, if the answer is "no", also type an explanation of what you see in the graph.</t>
  </si>
  <si>
    <t>By the way, the technical names for "funnel-shaped" are "heterogeneous variance" or "heteroskedasticity";</t>
  </si>
  <si>
    <t>what we want a residual plot to have is "homogeneous variance" or "homoskedasticity".</t>
  </si>
  <si>
    <t>Independence from one residual to the next.</t>
  </si>
  <si>
    <t>Is it fair to say that doing a linear regression and subtracting out the predicted values results in complete removal of any linear trend?</t>
  </si>
  <si>
    <t>qq plot</t>
  </si>
  <si>
    <t>rank</t>
  </si>
  <si>
    <t>ordered residual</t>
  </si>
  <si>
    <t>relative rank</t>
  </si>
  <si>
    <t>norminv</t>
  </si>
  <si>
    <t>Try fitting a trendline to each of the residual plots (other than the qq plots) above. What do you notice about the equation?</t>
  </si>
  <si>
    <t>Why?</t>
  </si>
  <si>
    <t>In any of the above plots, did we deal with squared residuals or absolute-valued residuals?</t>
  </si>
  <si>
    <t>Let's try a residual plot on this data, which comes from a force-measurement experiment.</t>
  </si>
  <si>
    <t>predicteds=</t>
  </si>
  <si>
    <t>residuals</t>
  </si>
  <si>
    <t>deflection</t>
  </si>
  <si>
    <t>load</t>
  </si>
  <si>
    <t>http://itl.nist.gov/div898/strd/lls/data/LINKS/DATA/Pontius.dat</t>
  </si>
  <si>
    <t>www.itl.nist.gov/div898/casestud/pontius.pdf</t>
  </si>
  <si>
    <t>Now plot horizontal=load, vertical=residuals, and comment:</t>
  </si>
  <si>
    <t>The data is named after the person who collected it, NIST scientist Paul Pontius.</t>
  </si>
  <si>
    <t>pontius.dat</t>
  </si>
  <si>
    <t>simulated data: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</si>
  <si>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</si>
  <si>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</si>
  <si>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</si>
  <si>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</si>
  <si>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</si>
  <si>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</si>
  <si>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</si>
  <si>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</si>
  <si>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</si>
  <si>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</si>
  <si>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</si>
  <si>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</si>
  <si>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</si>
  <si>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</si>
  <si>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</si>
  <si>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</si>
  <si>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</si>
  <si>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</si>
  <si>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</si>
  <si>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</si>
  <si>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</si>
  <si>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</si>
  <si>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</si>
  <si>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</si>
  <si>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</si>
  <si>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</si>
  <si>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</si>
  <si>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</si>
  <si>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</si>
  <si>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</si>
  <si>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estimated slopes:</t>
  </si>
  <si>
    <t>estimated intercepts:</t>
  </si>
  <si>
    <t>residuals:</t>
  </si>
  <si>
    <t>Results:</t>
  </si>
  <si>
    <t>averages of observed data:</t>
  </si>
  <si>
    <t>sigma^2</t>
  </si>
  <si>
    <t>VAR of residuals</t>
  </si>
  <si>
    <t>s^2=sumsq/(n-2)</t>
  </si>
  <si>
    <t>which estimate is closer?</t>
  </si>
  <si>
    <t xml:space="preserve">That is, </t>
  </si>
  <si>
    <t>s^2 = sum of squared residuals / (n-2)</t>
  </si>
  <si>
    <t>(we can take sum of squared residuals without subtracting the mean of the residuals,</t>
  </si>
  <si>
    <t>because the mean of the residuals is always zero anyway)</t>
  </si>
  <si>
    <t>We want to be able to say something like "We have strong evidence that there is a linear relationship between x and y."</t>
  </si>
  <si>
    <t>So our null hypothesis will be:</t>
  </si>
  <si>
    <t>H0:</t>
  </si>
  <si>
    <t>and our alternate hypothesis will be</t>
  </si>
  <si>
    <t>Ha:</t>
  </si>
  <si>
    <t>There is a linear relationship between x and y if the slope estimate is not what particular numerical value?</t>
  </si>
  <si>
    <t>We will do a t-test (though with a large number of data points, we can think of it as a z-test), by computing</t>
  </si>
  <si>
    <t>t = (estimated slope - zero)/SE of estimated slope</t>
  </si>
  <si>
    <t>Here is some output from it: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</si>
  <si>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</si>
  <si>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</si>
  <si>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</si>
  <si>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</si>
  <si>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</si>
  <si>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</si>
  <si>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</si>
  <si>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</si>
  <si>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</si>
  <si>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</si>
  <si>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</si>
  <si>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</si>
  <si>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</si>
  <si>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</si>
  <si>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</si>
  <si>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</si>
  <si>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</si>
  <si>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</si>
  <si>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</si>
  <si>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</si>
  <si>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</si>
  <si>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</si>
  <si>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</si>
  <si>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</si>
  <si>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RESIDUAL OUTPUT</t>
  </si>
  <si>
    <t>Observation</t>
  </si>
  <si>
    <t>Predicted Airfare ($)</t>
  </si>
  <si>
    <t>Residuals</t>
  </si>
  <si>
    <t>PROBABILITY OUTPUT</t>
  </si>
  <si>
    <t>Percentile</t>
  </si>
  <si>
    <t>this is the R^2 we've seen on various Trendline plots.</t>
  </si>
  <si>
    <t>This is actually the estimate of sigma. It shouldn't be called Standard Error.</t>
  </si>
  <si>
    <t>There's no easy way to do it for yourself in Excel, but there is an add-in called "Data Analysis" with a Regression tool that can do it. (look under the Data tab for it)</t>
  </si>
  <si>
    <t>Is it fair to say:</t>
  </si>
  <si>
    <t>"the t statistic tells you how many Standard Errors</t>
  </si>
  <si>
    <t>away from 0 the coefficient estimate is"?</t>
  </si>
  <si>
    <t>Based on the p-value shown above, write your conclusion:</t>
  </si>
  <si>
    <t>is there a significant linear relationship between distance and cost?</t>
  </si>
  <si>
    <t>Does the Confidence Interval on the Distance coefficient</t>
  </si>
  <si>
    <t>contain zero?</t>
  </si>
  <si>
    <t>Another good name for it is Mean Squared Error (MSE).</t>
  </si>
  <si>
    <t>We can do a similar test on the intercept,</t>
  </si>
  <si>
    <t>but that's really a lot less important than the slope.</t>
  </si>
  <si>
    <t>If you want to test the hypothesis that slope=</t>
  </si>
  <si>
    <t>some constant other than zero,</t>
  </si>
  <si>
    <t>you can still use the Coefficient and Standard Error</t>
  </si>
  <si>
    <t>terms above, but you have to compute the t-statistic</t>
  </si>
  <si>
    <t>yourself and calculate the p-value yourself using =tdist,</t>
  </si>
  <si>
    <t>and remember to select either 1-tailed or 2-tailed as needed.</t>
  </si>
  <si>
    <t>Click on the words labeling the column you want to be x,</t>
  </si>
  <si>
    <t>The value shown for 1790, for example, is (US census in 1800)-(US census in 1790).</t>
  </si>
  <si>
    <t>We'll generate the signal, then</t>
  </si>
  <si>
    <t>make up some noise and add it to the signal to get the observed data.</t>
  </si>
  <si>
    <t>Explaining Variation</t>
  </si>
  <si>
    <t>After we account for the distances, we could say that the unexplained parts are the residuals.</t>
  </si>
  <si>
    <t>What percent of the original Variance is left unexplained?</t>
  </si>
  <si>
    <t>So, what percent of the original Variance has been explained by the distances?</t>
  </si>
  <si>
    <t>We call this most recent answer the R^2 value, the "Coefficient of Determination",</t>
  </si>
  <si>
    <t>or the Percent of Variation explained by the x variable.</t>
  </si>
  <si>
    <t>Prof. Ross thinks it's unfortunate that the standard phrase "percent of variation explained"</t>
  </si>
  <si>
    <t>uses the generic term variation (which could mean Var, SD, IQR, etc.) instead of saying what it means, which is "percent of variance explained".</t>
  </si>
  <si>
    <t>Does it match the R^2 shown for the graph's trendline?</t>
  </si>
  <si>
    <t>Properties of R^2</t>
  </si>
  <si>
    <t>scale</t>
  </si>
  <si>
    <t>shift</t>
  </si>
  <si>
    <t>What if we change the units on distance or cost?</t>
  </si>
  <si>
    <t>NewDistance</t>
  </si>
  <si>
    <t>NewCost</t>
  </si>
  <si>
    <t>For example, changing dollars to pennies (scale factor=100)</t>
  </si>
  <si>
    <t>or changing miles to kilometers (scale factor=1.609344)</t>
  </si>
  <si>
    <t>Fill in this grid with descriptions on how things react:</t>
  </si>
  <si>
    <t>R^2</t>
  </si>
  <si>
    <t>Distance</t>
  </si>
  <si>
    <t>Cost</t>
  </si>
  <si>
    <t>Why do we like how R^2 behaves, then?</t>
  </si>
  <si>
    <t xml:space="preserve">A y-outlier is . . . </t>
  </si>
  <si>
    <t>Give this one an x-outlier by changing one of the data values; mark the one you changed in some color in its cell (not nec. on the graph)</t>
  </si>
  <si>
    <t>Give this one a y-outlier by changing one of the data values; mark the one you changed in some color in its cell (not nec. on the graph)</t>
  </si>
  <si>
    <t>Give this one an influential point that is not an x- or y-outlier by changing one or two of the data values; mark your changes in some color in its cell (not nec. on the graph)</t>
  </si>
  <si>
    <t>Give this one an influential point that is an x- or y-outlier (or both) by changing one or two of the data values; mark your changes in some color in its cell (not nec. on the graph)</t>
  </si>
  <si>
    <t>Give this one an x- or y-outlier (or both) that is NOT an influential point by changing one or two of the data values; mark your changes in some color in its cell (not nec. on the graph)</t>
  </si>
  <si>
    <t>enter a formula here to re-compute the "t stat" :</t>
  </si>
  <si>
    <t>Here is a screenshot (it is not an active dialog window) of what the Regression Tool looks like:</t>
  </si>
  <si>
    <t>An R^2 value that is that low signifies what about the data set: it fits a line well, or not?</t>
  </si>
  <si>
    <t>An R^2 value that is that high signifies what about the data set: it fits a line well, or not?</t>
  </si>
  <si>
    <t>but in this case there are good reasons that we'll see later to use Var rather than SD.</t>
  </si>
  <si>
    <t>x shift</t>
  </si>
  <si>
    <t>x scale</t>
  </si>
  <si>
    <t>y shift</t>
  </si>
  <si>
    <t>y scale</t>
  </si>
  <si>
    <t>Use words like "no change", or "shifts the same" or "scales inversely", etc.</t>
  </si>
  <si>
    <t>Correlation Coefficient</t>
  </si>
  <si>
    <t>Remember that we often use a capital letter for random variables, and a lowercase letter for particular resulting values.</t>
  </si>
  <si>
    <t>But in this case, we aren't doing that. We use a capital R in both cases. Sorry, but I'm not the one who made up the notation.</t>
  </si>
  <si>
    <t>Computing R^2 is complicated: you have to fit a line, compute residuals, etc.</t>
  </si>
  <si>
    <t>Let's make a measurement of how correlated the variables are that doesn't do that.</t>
  </si>
  <si>
    <t>The product of two positive numbers is</t>
  </si>
  <si>
    <t>The product of a positive and a negative number is</t>
  </si>
  <si>
    <t>The product of two negative numbers is</t>
  </si>
  <si>
    <t>First, let's quickly remind ourselves:</t>
  </si>
  <si>
    <t>Correlation talks about how x and y tend to behave together.</t>
  </si>
  <si>
    <t>If y tends to be high when x is high, and low when x is low, then we say they are positively correlated.</t>
  </si>
  <si>
    <t>If y tends to be low when x is high, and vice versa, then we say they are negatively correlated.</t>
  </si>
  <si>
    <t>Of course, what constitutes "low" or "high" depends on the data set/context.</t>
  </si>
  <si>
    <t>What would you compare an x value to, to say if it's low or high?</t>
  </si>
  <si>
    <t>And similarly for y, of course.</t>
  </si>
  <si>
    <t>What we're talking about is standardizing the variables:</t>
  </si>
  <si>
    <t>Zx_i = (x_i - xbar)/s_x</t>
  </si>
  <si>
    <t>Zy_i = (y_i - ybar)/s_y</t>
  </si>
  <si>
    <t>Let's do that here:</t>
  </si>
  <si>
    <t>mean:</t>
  </si>
  <si>
    <t>SD:</t>
  </si>
  <si>
    <t>Zx</t>
  </si>
  <si>
    <t>Zy</t>
  </si>
  <si>
    <t>Notice how some data points now fall in the first quadrant (Zx&gt;0, Zy&gt;0),</t>
  </si>
  <si>
    <t>some in the 3rd quadrant, and not very many in the 2nd or 4th quadrants.</t>
  </si>
  <si>
    <t>What if we multiply Zx_i * Zy_i for each data point?</t>
  </si>
  <si>
    <t>The points in quadrant 1 will have a product that is</t>
  </si>
  <si>
    <t>The points in quadrant 2 or 4 will have a product that is</t>
  </si>
  <si>
    <t>The points in quadrant 3 will have a product that is</t>
  </si>
  <si>
    <t>If we add them all up and the positives outweigh the negatives, then the correlation is</t>
  </si>
  <si>
    <t>If the negatives outweight the positives, then the correlation is</t>
  </si>
  <si>
    <t>Are we done? What if our data set was much bigger? Then the sum  would tend to be much bigger.</t>
  </si>
  <si>
    <t>Let's account for sample size by dividing by n-1:</t>
  </si>
  <si>
    <t>We will call this value "r" (little-r, as opposed to big-R or R^2).</t>
  </si>
  <si>
    <t>As a formula,</t>
  </si>
  <si>
    <t>How would you judge the distance (spread) from that benchmark? Relative to the</t>
  </si>
  <si>
    <t>Let's play with it a little bit, using just 3 data points:</t>
  </si>
  <si>
    <t>y</t>
  </si>
  <si>
    <t>and r=</t>
  </si>
  <si>
    <t>What is the smallest value of r you can get?</t>
  </si>
  <si>
    <t>Try to get r near zero. How would you describe a data set that has r near zero?</t>
  </si>
  <si>
    <t>and how would you describe that data set:</t>
  </si>
  <si>
    <t>What do you notice about the y-intercept of the best-fit line on the Zx,Zy plot?</t>
  </si>
  <si>
    <t>What do you notice about the slope of the best-fit line on the Zx,Zy plot? (hint: compare to the value of r)</t>
  </si>
  <si>
    <t>This means that the best-fit line on the Zx,Zy plot goes through the</t>
  </si>
  <si>
    <t>What do you notice about the R^2 value on the two plots?</t>
  </si>
  <si>
    <t>Can you provide a reason that might be true?</t>
  </si>
  <si>
    <t>, which corresponds to what point on the original-data plot?</t>
  </si>
  <si>
    <t>As you play with the 3 data points x and y values, what is the largest value of r you can get?</t>
  </si>
  <si>
    <t>One last bit of fun: if we square r, we get</t>
  </si>
  <si>
    <t>What do you notice about that?</t>
  </si>
  <si>
    <t>r=( 1/(n-1) )  * sum (Zx_i * Zy_i)</t>
  </si>
  <si>
    <t>While there are other definitions of correlation coefficient, this definition of "r" is by far the most common.</t>
  </si>
  <si>
    <t>It is known as Pearson's correlation coefficient.</t>
  </si>
  <si>
    <t>Sometimes people get lazy and refer to R^2 or r^2 as the correlation rather than r, so be careful.</t>
  </si>
  <si>
    <t>(Other definitions of correlation are Kendall's and Spearman's, for example, but we won't have time to play with them.)</t>
  </si>
  <si>
    <t>Does that mean that x and y are not associated?</t>
  </si>
  <si>
    <t>What if r (or r^2) is zero? (or near)</t>
  </si>
  <si>
    <t>age group</t>
  </si>
  <si>
    <t>10 to 19</t>
  </si>
  <si>
    <t>20 to 29</t>
  </si>
  <si>
    <t>30 to 39</t>
  </si>
  <si>
    <t>40 to 49</t>
  </si>
  <si>
    <t>50 to 59</t>
  </si>
  <si>
    <t>60 to 69</t>
  </si>
  <si>
    <t>Peck/Olsen/Devore page 231</t>
  </si>
  <si>
    <t>x=age midpoint</t>
  </si>
  <si>
    <t>y=Average finish time (minutes)</t>
  </si>
  <si>
    <t>Try this data set from the New York City marathon, female participants in various age groups.</t>
  </si>
  <si>
    <t>State more precisely what r might measure:</t>
  </si>
  <si>
    <t>Elegant formulas for the best-fit coefficients</t>
  </si>
  <si>
    <t>But we just noticed that the slope of the best-fit line on the standardized graph was equal to r. Why?</t>
  </si>
  <si>
    <t>http://home.htva.net/~bock/LOBFderivWS.pdf</t>
  </si>
  <si>
    <t>This PDF has a nice explanation:</t>
  </si>
  <si>
    <t>They use the formula for the minimum of a quadratic, and no calculus.</t>
  </si>
  <si>
    <t>The calculus-based way to find the formulas to calculate the slope and intercept</t>
  </si>
  <si>
    <t>is to set up the sum-of-squared-residuals,</t>
  </si>
  <si>
    <t>sum_i (y_i - (b_0 + b_1*x_i) )^2</t>
  </si>
  <si>
    <t>then take the derivative with respect to b_0 and b_1 separately, set them equal to zero, and solve.  Fun!</t>
  </si>
  <si>
    <t>Here are the elegant formulas we're left with.</t>
  </si>
  <si>
    <t>First, compute r = sum (Zx_i * Zy_i) / (n-1)</t>
  </si>
  <si>
    <t>This is the correlation coefficient, and also the slope of the best-fit line in the standardized plot.</t>
  </si>
  <si>
    <t>Going over 1 unit and up "r" units in the standardized plot is analogous to</t>
  </si>
  <si>
    <t>going over 1*s_x units and up r*s_y units in the original data, so the slope of the best-fit line for the original data is</t>
  </si>
  <si>
    <t>b_1 = r * s_y / s_x</t>
  </si>
  <si>
    <t>And we know the best-fit line goes through (0,0) in the standardized plot or (xbar,ybar) in the original data, so we can use</t>
  </si>
  <si>
    <t>point-slope form to write</t>
  </si>
  <si>
    <t>yhat = b_1 * (x-xbar) + ybar</t>
  </si>
  <si>
    <t>b_0 = ybar + b_1* -xbar</t>
  </si>
  <si>
    <t>and do some algebra to get it into slope-intercept form, with</t>
  </si>
  <si>
    <t>To put that all together:</t>
  </si>
  <si>
    <t>r = sum (Zx_i * Zy_i) / (n-1)</t>
  </si>
  <si>
    <t>Excel has a function to compute it, =CORREL, which doesn't need the data to be standardized:</t>
  </si>
  <si>
    <t>based on this graph and your experiments on the previous sheet.</t>
  </si>
  <si>
    <t>People who use Excel find it natural to graph the data before finding the trendline.</t>
  </si>
  <si>
    <t>People who use calculators might find the trendline after entering the data, without graphing.</t>
  </si>
  <si>
    <t>What would you tell these people who use calculators?</t>
  </si>
  <si>
    <t>Let's take that gas temperature/volume data from before (but less noise this time) and graph it again,</t>
  </si>
  <si>
    <t>x value that gives y=0:</t>
  </si>
  <si>
    <t>Is the best-fit line for y as a function of x</t>
  </si>
  <si>
    <t>the same as the best-fit line for x as a function of y?</t>
  </si>
  <si>
    <t>If I try to predict people's weight from their height,</t>
  </si>
  <si>
    <t>do I get the same line as predicting height from weight?</t>
  </si>
  <si>
    <t>copy of x</t>
  </si>
  <si>
    <t>Let's try it with a tiny, abstract data set:</t>
  </si>
  <si>
    <t>Are the best-fit equations the same?</t>
  </si>
  <si>
    <t>Is it fair to ask that they be the same?</t>
  </si>
  <si>
    <t>Think of unit conversions:</t>
  </si>
  <si>
    <t>cm = 2.54 * inches, and inches=0.393701*cm</t>
  </si>
  <si>
    <t>even though the line is the same?</t>
  </si>
  <si>
    <t xml:space="preserve">That's essentially flipping x &amp; y but keeping the same line; </t>
  </si>
  <si>
    <t>How should the slopes relate to each other</t>
  </si>
  <si>
    <t>Is that true for our best-fit lines here?</t>
  </si>
  <si>
    <t>if you flip x &amp; y in a perfect linear equation (not based on data)?</t>
  </si>
  <si>
    <t xml:space="preserve">What is the y-intercept on the original graph? </t>
  </si>
  <si>
    <t>should the equations look the same,</t>
  </si>
  <si>
    <t>(just eyeball it)</t>
  </si>
  <si>
    <t>(just copy it by eye here, no need to use excel's =intercept function)</t>
  </si>
  <si>
    <t>What is the horizontal-intercept (not y-intercept) on the 2nd, flipped, graph?</t>
  </si>
  <si>
    <t>If it was the same line, the y-intercept on graph 1 would be the same as the horizontal intercept on graph 2.</t>
  </si>
  <si>
    <t>Are they the same line?</t>
  </si>
  <si>
    <t>If you're trying to predict weight from height, should you set</t>
  </si>
  <si>
    <t>x=weight, y=height or</t>
  </si>
  <si>
    <t>y=weight, x=height, or does it not matter? Explain.</t>
  </si>
  <si>
    <t>If they were the same line, what would their product be?</t>
  </si>
  <si>
    <t>A side bit of fun: here are the slopes of the two equations:</t>
  </si>
  <si>
    <t>What is their actual product?</t>
  </si>
  <si>
    <t>Does that number look familiaR^2 ?</t>
  </si>
  <si>
    <t>Optional:</t>
  </si>
  <si>
    <t>Is it fair to say that R^2 measures how close the two slopes are to being reciprocals of each other?</t>
  </si>
  <si>
    <t>Here we're doing Volume = a linear function of Temperature,</t>
  </si>
  <si>
    <t>but then solving for volume=0 to get a temperature.</t>
  </si>
  <si>
    <t>Here we're doing Temperature = a linear function of Volume,</t>
  </si>
  <si>
    <t>and then just finding what temperature you get if you plug in volume=0,</t>
  </si>
  <si>
    <t>which is the vertical intercept.</t>
  </si>
  <si>
    <t>but if you did, which method tends to give you a number closer to -273.15 deg C ?</t>
  </si>
  <si>
    <t>Press F9 or Command+ a few times to get new random numbers.</t>
  </si>
  <si>
    <t>Optional for everyone, but makes our Chemistry friends happy:</t>
  </si>
  <si>
    <t>We are still assuming that the noise values are independent of each other,</t>
  </si>
  <si>
    <t>and all have the same variance regardless of the values of x.</t>
  </si>
  <si>
    <t>And we're now ALSO assuming the noise values have a Normal distribution.</t>
  </si>
  <si>
    <t>It is very bad to make newly calculated values look like they are part of your original data.</t>
  </si>
  <si>
    <t>To get the original data back, set the scale cells = 1 and the shift cells = 0.</t>
  </si>
  <si>
    <t>Here are some good graphs of what different r values can look like:</t>
  </si>
  <si>
    <t>http://en.wikipedia.org/wiki/Pearson_product-moment_correlation_coefficient</t>
  </si>
  <si>
    <t>How big of an r value do you need?</t>
  </si>
  <si>
    <t>r values near 0 mean not much linear correlation.</t>
  </si>
  <si>
    <t>But what does "near" mean?</t>
  </si>
  <si>
    <t>As in everything in statistics, it depends on the sample size; you can't give a guideline based on r or R^2 alone.</t>
  </si>
  <si>
    <t xml:space="preserve">t=r* sqrt( (n-2)/(1-r^2) ) </t>
  </si>
  <si>
    <t>is a t-statistic with n-2 degrees of freedom.</t>
  </si>
  <si>
    <t>First, we're concerned with low values of r.  If r is low, then r^2 is near</t>
  </si>
  <si>
    <t>optional work:</t>
  </si>
  <si>
    <t>So then 1-r^2 is near</t>
  </si>
  <si>
    <t>which simplifies the expression to</t>
  </si>
  <si>
    <t>And for reasonably large n, we have n-2 being about equal to n, so now our formula is</t>
  </si>
  <si>
    <t>Instead of thinking of a t-distribution, let's think of a Normal with z=1.96, which is about 2. So we'll say t=2.</t>
  </si>
  <si>
    <t>Now solve for r and get</t>
  </si>
  <si>
    <t>as the approximate limit on how small of an r value is too small.</t>
  </si>
  <si>
    <t>r = 2/sqrt(n)</t>
  </si>
  <si>
    <t>Aside from wondering about r values near zero, we might ask: how big does r have to be for a strong correlation? What about medium?</t>
  </si>
  <si>
    <t>Peck/Olsen/Devore, page 228, gives these ranges:</t>
  </si>
  <si>
    <t>from</t>
  </si>
  <si>
    <t>to</t>
  </si>
  <si>
    <t>description</t>
  </si>
  <si>
    <t>weak</t>
  </si>
  <si>
    <t>moderate</t>
  </si>
  <si>
    <t>strong</t>
  </si>
  <si>
    <t>these are "r" values, not R^2</t>
  </si>
  <si>
    <t>equivalent R^2 values</t>
  </si>
  <si>
    <t>(if r is negative, use this table as if r was positive)</t>
  </si>
  <si>
    <t>If you want to impress people at parties, here is a way to simplify/approximate that t-statistic formula above.</t>
  </si>
  <si>
    <t>These numbers are for social and life sciences. In physics, engineering, and chemistry, we would hope for higher values.</t>
  </si>
  <si>
    <t>using the best slope &amp; intercept that Excel calculates?</t>
  </si>
  <si>
    <t>Is this true only when the data is exactly linear?</t>
  </si>
  <si>
    <t>Compare the R^2 values for the two graphs:</t>
  </si>
  <si>
    <t>Thinking about the formula</t>
  </si>
  <si>
    <t>does this make sense?</t>
  </si>
  <si>
    <t>So, does r work as a measure of how associated two variables are, in general?</t>
  </si>
  <si>
    <t>Would you say these two variables are associated?</t>
  </si>
  <si>
    <t>Association of Quantitative Variables</t>
  </si>
  <si>
    <t>y-intercept (beta_0):</t>
  </si>
  <si>
    <t>slope (beta_1):</t>
  </si>
  <si>
    <t>Press F9 (Windows) or Command-+ (Mac) or Control-+ (Mac running Windows) to generate new random numbers for the noise (try it repeatedly).</t>
  </si>
  <si>
    <t>Terminology</t>
  </si>
  <si>
    <t>Simulating signal-plus-noise</t>
  </si>
  <si>
    <t>Fitting a line to data, by eye and via Excel</t>
  </si>
  <si>
    <t>At this point, we could use the ugly equations that many textbooks give to find the best possible slope &amp; intercept.</t>
  </si>
  <si>
    <t>But we never really personally use those in practice--we just use built-in computer routines to do it.</t>
  </si>
  <si>
    <t>(fill in this formula yourself &amp; autofill down)</t>
  </si>
  <si>
    <t>also try using =INTERCEPT and =SLOPE here:</t>
  </si>
  <si>
    <t>What are the units of the slope in this problem?</t>
  </si>
  <si>
    <t>It is very near what value?</t>
  </si>
  <si>
    <t>The following graph is from the statistical software "Fathom", which is meant to help students learn statistics.</t>
  </si>
  <si>
    <t>It shows the residuals drawn vertically from the data points to the line,</t>
  </si>
  <si>
    <t>and also draws a square with that side length for each, to show the idea of sum-of-squared-residuals.</t>
  </si>
  <si>
    <t>This kind of drawing is becoming more popular in high-school (and some college) units on regression.</t>
  </si>
  <si>
    <t>What does this say about the mean value of residuals after you've fitted the best possible line?</t>
  </si>
  <si>
    <t>An important property of the best-fit line</t>
  </si>
  <si>
    <t>which is often typed simply as (xbar, ybar).</t>
  </si>
  <si>
    <t>Let's try some other points, like averaging the data's x values and the data's y values (either using the mean or the median)</t>
  </si>
  <si>
    <t>mean x, y</t>
  </si>
  <si>
    <t>What do you notice about the predicted y value at the mean x value ?</t>
  </si>
  <si>
    <t>What do you notice about the predicted y value at the median x value ?</t>
  </si>
  <si>
    <t>Start by looking at the formulas in the following four cells.</t>
  </si>
  <si>
    <t>Then, find the value that the trendline predicts at those x values. (hint: you can copy/paste a formula from above).</t>
  </si>
  <si>
    <t>Another name for "mean x,y" is</t>
  </si>
  <si>
    <t>Notice that I did not put the mean and median rows directly after the table--</t>
  </si>
  <si>
    <t>These formulas are already entered for you; you might want to see what they are and how they work, though.</t>
  </si>
  <si>
    <t>However, some authors mix up the two concepts.</t>
  </si>
  <si>
    <t>Describe the effect on the regression line.</t>
  </si>
  <si>
    <t>Don't just say whether something increased or decreased; note whether the change was substantial or not.</t>
  </si>
  <si>
    <t>Next we will try to create influential points. You can see if a point is influential by deleting its y-value and watching the line change; then Undo to get the point back.</t>
  </si>
  <si>
    <t>Residual plots</t>
  </si>
  <si>
    <t>related to page 427/428 in Walpole.</t>
  </si>
  <si>
    <t>We will want to check the residuals to see if they are normally distributed.</t>
  </si>
  <si>
    <t>Here, we do a "Q-Q plot"; if the result is reasonably near a straight line,</t>
  </si>
  <si>
    <t>then the residuals are reasonably near normally distributed.</t>
  </si>
  <si>
    <t>Types of Residual Plots</t>
  </si>
  <si>
    <t>So far, we have tried plotting:</t>
  </si>
  <si>
    <t>* residuals on the vertical axis, original x values on the horizontal axis</t>
  </si>
  <si>
    <t>* residuals on the vertical axis, predicted y values (yhat) on the horizontal axis</t>
  </si>
  <si>
    <t>* a Q-Q plot of residuals to see if they are close to normally distributed.</t>
  </si>
  <si>
    <t>From now on, it is standard procedure to graph the residuals (in at least one way) after doing a fit. Only rarely will we not do so.</t>
  </si>
  <si>
    <t>There are other ways of plotting, them, though, that highlight different aspects of residuals.</t>
  </si>
  <si>
    <t>Below is a copy of a web page from the US National Institute for Standards and Technology data analysis handbook.</t>
  </si>
  <si>
    <t>Have we tried this type of plot yet? Answer yes or no.</t>
  </si>
  <si>
    <t>* the original data and a trendline,</t>
  </si>
  <si>
    <t>Overall, the handbook is very interesting and helpful on a wide variety of topics, not just residual plots.</t>
  </si>
  <si>
    <t>Why is it important to look at the residuals?</t>
  </si>
  <si>
    <t>Properties of the Least-Squares Estimators</t>
  </si>
  <si>
    <t>One reason that we like least-squares is that the resulting</t>
  </si>
  <si>
    <t>estimates of the slope and intercept are unbiased estimates</t>
  </si>
  <si>
    <t>of the actual slope and intercept (if the data really comes from a linear model).</t>
  </si>
  <si>
    <t>This can be shown analytically, of course--and it is, in many textbooks.</t>
  </si>
  <si>
    <t>On this sheet, we run a simulation with artificial data to show that it is plausible.</t>
  </si>
  <si>
    <t>First, we invent a slope and intercept for our underlying linear model.</t>
  </si>
  <si>
    <t>Then we generate 30 data sets from that true linear model, adding noise to each one.</t>
  </si>
  <si>
    <t>For each data set, we compute the least-squares slope and intercept, and the residuals.</t>
  </si>
  <si>
    <t>a row of "1"s for use in making dot-plots:</t>
  </si>
  <si>
    <t>And a single "0.5", also for use in making dot-plots:</t>
  </si>
  <si>
    <t>We dot-plot the resulting intercepts and slopes, and show the true value for each.</t>
  </si>
  <si>
    <t>By getting new random numbers, we can see over and over again that the dotplots tend to stay centered on the true values.</t>
  </si>
  <si>
    <t>Then we look at how big the residuals tend to be. Their mean is zero, of course. But how widely spread are they?</t>
  </si>
  <si>
    <t>Our first instinct might be to take the variance or standard deviation, to talk about how far from the regression line the data points seem to be.</t>
  </si>
  <si>
    <t>It turns out this would be a slightly biased estimate of the "sigma" of the actual noise.</t>
  </si>
  <si>
    <t>To get an unbiased estimate, we divide by n-2 instead of n-1 or n--this formula is shown in many textbooks.</t>
  </si>
  <si>
    <t>These are the true values of slope and intercept that we generate data from.</t>
  </si>
  <si>
    <t>estimated intercept</t>
  </si>
  <si>
    <t>estimated slope</t>
  </si>
  <si>
    <t>In real models, we hardly ever know these.</t>
  </si>
  <si>
    <t>But in simulations, we often do.</t>
  </si>
  <si>
    <t>averages of observed values:</t>
  </si>
  <si>
    <t>VAR</t>
  </si>
  <si>
    <t>Inferences concerning the Regression Coefficients</t>
  </si>
  <si>
    <t>Textbooks give a formula for doing it, but in practice we just use software.</t>
  </si>
  <si>
    <t>ask me about this later; it's more related to regression with multiple explanatory data columns.</t>
  </si>
  <si>
    <t>we're skipping ANOVA entirely in this class.</t>
  </si>
  <si>
    <t>It's nice that the tool can automatically give you the predicted values and residuals.</t>
  </si>
  <si>
    <t>However, what it seems to claim is a P-P plot</t>
  </si>
  <si>
    <t>for checking normality</t>
  </si>
  <si>
    <t>is actually nothing of the sort.</t>
  </si>
  <si>
    <t>It is best to ignore it.</t>
  </si>
  <si>
    <t>A big question: is there any linear relationship between x and y?</t>
  </si>
  <si>
    <r>
      <t xml:space="preserve">(another big question that is </t>
    </r>
    <r>
      <rPr>
        <u/>
        <sz val="11"/>
        <color theme="1"/>
        <rFont val="Calibri"/>
        <family val="2"/>
        <scheme val="minor"/>
      </rPr>
      <t>not</t>
    </r>
    <r>
      <rPr>
        <sz val="11"/>
        <color theme="1"/>
        <rFont val="Calibri"/>
        <family val="2"/>
        <scheme val="minor"/>
      </rPr>
      <t xml:space="preserve"> the same thing: is the relationship between x and y linear, or nonlinear?)</t>
    </r>
  </si>
  <si>
    <t>Here is a completely artificial data set, and the results of running the Data Analysis-&gt;Regression tool on it:</t>
  </si>
  <si>
    <t>artificial x</t>
  </si>
  <si>
    <t>artificial y</t>
  </si>
  <si>
    <t>note that the R^2 value is essentially zero.</t>
  </si>
  <si>
    <t>is there a significant linear relationship between artificial-x and artificial-y?</t>
  </si>
  <si>
    <t>Does the Confidence Interval on the artificial-x variable</t>
  </si>
  <si>
    <t>Can you conclude that x and y are not related in this data set?</t>
  </si>
  <si>
    <t>Now scatterplot the data and comment:</t>
  </si>
  <si>
    <t>Regression can be seen as trying to explain variation in one variable using values of the other variable.</t>
  </si>
  <si>
    <t>So, let's quantify how well we're doing at explaining the variation. We'll start by doing a simple regression.</t>
  </si>
  <si>
    <r>
      <t xml:space="preserve">Before, we used the sum of squared residuals to measure how well any particular </t>
    </r>
    <r>
      <rPr>
        <u/>
        <sz val="11"/>
        <color theme="1"/>
        <rFont val="Calibri"/>
        <family val="2"/>
        <scheme val="minor"/>
      </rPr>
      <t>line</t>
    </r>
    <r>
      <rPr>
        <sz val="11"/>
        <color theme="1"/>
        <rFont val="Calibri"/>
        <family val="2"/>
        <scheme val="minor"/>
      </rPr>
      <t xml:space="preserve"> fits the </t>
    </r>
    <r>
      <rPr>
        <u/>
        <sz val="11"/>
        <color theme="1"/>
        <rFont val="Calibri"/>
        <family val="2"/>
        <scheme val="minor"/>
      </rPr>
      <t>data.</t>
    </r>
  </si>
  <si>
    <r>
      <t xml:space="preserve">The R^2 value, on the other hand, measures how well the </t>
    </r>
    <r>
      <rPr>
        <u/>
        <sz val="11"/>
        <color theme="1"/>
        <rFont val="Calibri"/>
        <family val="2"/>
        <scheme val="minor"/>
      </rPr>
      <t>data</t>
    </r>
    <r>
      <rPr>
        <sz val="11"/>
        <color theme="1"/>
        <rFont val="Calibri"/>
        <family val="2"/>
        <scheme val="minor"/>
      </rPr>
      <t xml:space="preserve"> fits the </t>
    </r>
    <r>
      <rPr>
        <u/>
        <sz val="11"/>
        <color theme="1"/>
        <rFont val="Calibri"/>
        <family val="2"/>
        <scheme val="minor"/>
      </rPr>
      <t>line</t>
    </r>
    <r>
      <rPr>
        <sz val="11"/>
        <color theme="1"/>
        <rFont val="Calibri"/>
        <family val="2"/>
        <scheme val="minor"/>
      </rPr>
      <t>.</t>
    </r>
  </si>
  <si>
    <t>You might think, as Prof. Ross does, that it's usually nicer to use SD rather than Var to describe variation, at least for popular consumption,</t>
  </si>
  <si>
    <t>What is the lowest possible value of R^2, for any data set? (hint: what if x doesn't explain y at all, and we get no reduction in variance?)</t>
  </si>
  <si>
    <t>What is the highest possible value of R^2? (hint: what if x explains y perfectly, and the variance of the residuals is zero?)</t>
  </si>
  <si>
    <t>R^2 can be used even when we're using something other than a straight line; it doesn't matter how the predictions are done, it just uses the resulting residuals.</t>
  </si>
  <si>
    <t>or add a $50 baggage fee. Play with the green cells and observe how R^2 reacts.</t>
  </si>
  <si>
    <t>Zx*Zy</t>
  </si>
  <si>
    <t>Above, we have created a column to multiply Zx*Zy for each row, and here we sum them up:</t>
  </si>
  <si>
    <t>We could instead use =SUMPRODUCT() on the two Z columns above:</t>
  </si>
  <si>
    <t>play with</t>
  </si>
  <si>
    <t>the boxed</t>
  </si>
  <si>
    <t>values:</t>
  </si>
  <si>
    <t>The formulas for b_0 and b_1 in many textbooks are, shall we say, not elegant.</t>
  </si>
  <si>
    <t>Many textbooks give the precise formula:</t>
  </si>
  <si>
    <t>Flipping the Horizontal and Vertical variables</t>
  </si>
  <si>
    <t>Of course, this never happens with real data, but perhaps it is fun to play with.</t>
  </si>
  <si>
    <t>This section is optional.</t>
  </si>
  <si>
    <t>Here is a data set that is an exact horizontal line:</t>
  </si>
  <si>
    <t>A scatterplot is included. What is the R^2 value?</t>
  </si>
  <si>
    <t>Some people worry about what the correlation coefficient (or, perhaps equivalently, R^2) should be if the data is exactly a horizontal line.</t>
  </si>
  <si>
    <t>If we ignored the distances entirely, what is the sample variance of the airfares? Feel free to use an Excel formula or function to calculate it, like "=VAR"</t>
  </si>
  <si>
    <t>What is the sample variance of the unexplained part?</t>
  </si>
  <si>
    <t>Let's investigate why this might be.</t>
  </si>
  <si>
    <t>First, let's create a data set that is horizontal but not a perfect straight line:</t>
  </si>
  <si>
    <t>true intercept</t>
  </si>
  <si>
    <t>true slope</t>
  </si>
  <si>
    <t>Then, the opposite: a perfect straight line, but not horizontal:</t>
  </si>
  <si>
    <t>A scatterplot is included. Why do we get that R^2 value?</t>
  </si>
  <si>
    <t>Overall, then, why do we get a strange R^2 for a perfect straight horizontal data set?</t>
  </si>
  <si>
    <t>But if you want to set sigma to 0 to remove all noise, the *sigma version works, but using sigma=0 inside norminv() fails.</t>
  </si>
  <si>
    <t>It is true that we could use =norminv(rand(),0,sigma) instead of =norminv(rand(),0,1)*sigma</t>
  </si>
  <si>
    <t>We could also use =normsinv(rand())*sigma.</t>
  </si>
  <si>
    <t>What do you notice about how the signal (grey line) changes when you do that?</t>
  </si>
  <si>
    <t>epsilon = noise</t>
  </si>
  <si>
    <t>signal: y=E(Y)= mu_(Y|x)</t>
  </si>
  <si>
    <t>observed: Y= signal + noise</t>
  </si>
  <si>
    <t>And sometimes we want to have the =rand() in its own column, so we can see the U(0,1) numbers and in some cases freeze them.</t>
  </si>
  <si>
    <t>true values, not estimates:</t>
  </si>
  <si>
    <t>You should also practice scatterplotting the data sets, essentially replicating what we have already done, but perhaps not taking the time to add the labels.</t>
  </si>
  <si>
    <t>volume, Liters</t>
  </si>
  <si>
    <t>temperature, deg C</t>
  </si>
  <si>
    <t>Average salary for full-time teachers</t>
  </si>
  <si>
    <t>Student/ teacher ratio</t>
  </si>
  <si>
    <t>How fast is the US population growing?</t>
  </si>
  <si>
    <t>A tip for future teachers: it is important that your future students see these 3 sorts of pictures. It helps establish that we can get multiple y values even at the same x value, in some data sets.</t>
  </si>
  <si>
    <t>First, how much space (volume) does a gas take up at different temperatures, at the same pressure?</t>
  </si>
  <si>
    <t>Measuring How Well a Line fits the Data</t>
  </si>
  <si>
    <t>We often want to use a formula to describe the general pattern of a data set,</t>
  </si>
  <si>
    <t>and a linear formula like y=m*x+b is one of the simplest reasonable options, usually.</t>
  </si>
  <si>
    <t>But how should we choose the slope and intercept?</t>
  </si>
  <si>
    <t>Some initial options that people usually come up with are:</t>
  </si>
  <si>
    <t>(these are just the first 10 districts from a previous data set, chosen without regard to salary or student/teacher ratio values)</t>
  </si>
  <si>
    <t>Real data on 30 public school districts in Pennsylvania, for one year, circa 2005, out of roughly 500 districts. Districts are listed in essentially alphabetic order, rather than ordered by salary or student/teacher ratio.</t>
  </si>
  <si>
    <t>connect the first and last (leftmost and rightmost) points</t>
  </si>
  <si>
    <t>connect the highest and lowest points</t>
  </si>
  <si>
    <t>have the line touch as many points as possible</t>
  </si>
  <si>
    <t>minimize the total distance from the points to the line</t>
  </si>
  <si>
    <t>minimize the largest distance from the points to the line</t>
  </si>
  <si>
    <t>a)</t>
  </si>
  <si>
    <t>b)</t>
  </si>
  <si>
    <t>c)</t>
  </si>
  <si>
    <t>d)</t>
  </si>
  <si>
    <t>e)</t>
  </si>
  <si>
    <t>f)</t>
  </si>
  <si>
    <t>have the line divide the data in half: 50% of points above, 50% below</t>
  </si>
  <si>
    <t>leftmost and rightmost points</t>
  </si>
  <si>
    <t>rightmost</t>
  </si>
  <si>
    <t>leftmost</t>
  </si>
  <si>
    <t>lowest</t>
  </si>
  <si>
    <t>highest</t>
  </si>
  <si>
    <t>lowest and highest points</t>
  </si>
  <si>
    <t>x rank (1=lowest)</t>
  </si>
  <si>
    <t>y rank (1=lowest)</t>
  </si>
  <si>
    <t>First, let's try it by eye. Here is a selection from a previous data set,</t>
  </si>
  <si>
    <t>Adjust them until you'd say the line is a good fit for the data.</t>
  </si>
  <si>
    <t>If we wanted a more reproducible and objective way to fit a line,</t>
  </si>
  <si>
    <t>we'd want a specified procedure that could be followed by a computer.</t>
  </si>
  <si>
    <t>slope:</t>
  </si>
  <si>
    <t>and some cells (in yellow) where you can play with the slope and intercept of a line.</t>
  </si>
  <si>
    <t>Explain how you decided that the line was close enough that you could stop adjusting it.</t>
  </si>
  <si>
    <t>Name some potential problems with fitting a line by eye:</t>
  </si>
  <si>
    <t>First, we will show the lines that (a) and (b) give for this data set.</t>
  </si>
  <si>
    <t>The details of the computation aren't important, but if you want to learn some Excel tricks, go ahead and inspect the formulas.</t>
  </si>
  <si>
    <t>We can't simply use =max() or =min() to select large or small x or y values,</t>
  </si>
  <si>
    <t>since we have to select, for example, the y value that goes with the smallest x value.</t>
  </si>
  <si>
    <t>From the selected points, we also compute the slope and intercept.</t>
  </si>
  <si>
    <t>Copies of your by-eye slope and intercept from above:</t>
  </si>
  <si>
    <t>% diff from by-eye values</t>
  </si>
  <si>
    <t>This is called the "informal" line of best fit.</t>
  </si>
  <si>
    <t>(these are automatically copied;</t>
  </si>
  <si>
    <t>you don't need to edit them)</t>
  </si>
  <si>
    <t>How does the slope of the leftmost-to-rightmost line compare to the slope of your informal line?</t>
  </si>
  <si>
    <t>How does the slope of the lowest-to-highest line compare to the slope of your informal line?</t>
  </si>
  <si>
    <t>points on the informal, by-eye line</t>
  </si>
  <si>
    <t>Leftmost and Rightmost/Lowest and Highest</t>
  </si>
  <si>
    <t>Informal Line of Best Fit</t>
  </si>
  <si>
    <t>Two graphs are shown: the second is a zoom-in on the first.</t>
  </si>
  <si>
    <t>Touch As Many Points as Possible</t>
  </si>
  <si>
    <t>How many points does the leftmost-to-rightmost line EXACTLY touch?</t>
  </si>
  <si>
    <t>How many points does the lowest-to-highest line EXACTLY touch?</t>
  </si>
  <si>
    <t>How many points does your informal by-eye line EXACTLY touch?</t>
  </si>
  <si>
    <t>Can we find a line that will touch 3 or more points exactly, for this data set?</t>
  </si>
  <si>
    <t>Let's try! In the two yellow cells, type the district # (1 through 10) of two data points you want the line to touch exactly.</t>
  </si>
  <si>
    <t>Formulas then look up the x &amp; y values of those data points for you, and compute the intercept and slope of the line that touches them.</t>
  </si>
  <si>
    <t>y values of this line</t>
  </si>
  <si>
    <t>(Again, the details of the formulas aren't important, but if you want to learn some Excel tricks, go ahead and investigate.)</t>
  </si>
  <si>
    <t>The district # for each data point is shown in the graph below, to make it easy to pick which ones you want.</t>
  </si>
  <si>
    <t>Does the line through the 2 points you selected go exactly through any other points?</t>
  </si>
  <si>
    <t>Here's how we can measure how close it gets: for each data point,</t>
  </si>
  <si>
    <t>This is called the "residual" for that data point and this line.</t>
  </si>
  <si>
    <t>If the residual is zero, then the line exactly touches the point.</t>
  </si>
  <si>
    <t>compute the vertical distance to the line: (actual y data value) minus (y value of the line at that x-value).</t>
  </si>
  <si>
    <t>Above, we have computed the residuals (in the rectangle). The formulas are important! Look at them!</t>
  </si>
  <si>
    <t>Does the line through those 2 points go through any other points exactly?</t>
  </si>
  <si>
    <t>Overall, what do you think of the "touch as many points as possible" criterion for line fitting?</t>
  </si>
  <si>
    <t>Have the line divide the data in half</t>
  </si>
  <si>
    <t>Here we show a line that divides the data in half: 50% of points are above the line, and 50% are below.</t>
  </si>
  <si>
    <t>You can tell that 5 out of the 10 points have a positive residual (are above the line), and the other 5 have a negative residual (are below the line).</t>
  </si>
  <si>
    <t>Do you think this line fits the data well?</t>
  </si>
  <si>
    <t>Do you think this is a good way to specify which line to use?</t>
  </si>
  <si>
    <t>Now we clearly chose a ridiculous line that does manage to divide the data in half.</t>
  </si>
  <si>
    <t>You do not need to play with the intercept and slope; just look at the resulting line in the graph.</t>
  </si>
  <si>
    <t>Of course, you would naturally have chosen a line that isn't so ridiculous.</t>
  </si>
  <si>
    <t>But if we programmed a computer to divide the data in half, it wouldn't know which was ridiculous and which wasn't.</t>
  </si>
  <si>
    <t>In the future, when we have a formal definition of line of best fit,</t>
  </si>
  <si>
    <t>we will want to avoid the concept of "divides the data in half", since it is rarely useful.</t>
  </si>
  <si>
    <t>Minimize the total distance from the points to the line</t>
  </si>
  <si>
    <t>Remember that we defined the "residual" at a data point</t>
  </si>
  <si>
    <t>to be the distance from the point to the line:</t>
  </si>
  <si>
    <t>residual at data point #i = (actual y value of point#i) minus (y value of line at x coordinate of data point #i)</t>
  </si>
  <si>
    <t>We will abbreviate "y value of the line at the x coordinate of data point #i" as</t>
  </si>
  <si>
    <t>This is a y with a "hat" on it, pronounced "y hat", with a subscript i.</t>
  </si>
  <si>
    <t>Here is the data again, with your informal line of best fit.</t>
  </si>
  <si>
    <t>data to plot the residuals</t>
  </si>
  <si>
    <t>(again, the details of these formulas aren't important, but if you want to learn some Excel tricks, you can read through them)</t>
  </si>
  <si>
    <t>Enter a formula to calculate the first residual in the yellow cell, and auto-fill down to compute all the residuals.</t>
  </si>
  <si>
    <t>What happened to the sum of the residuals?</t>
  </si>
  <si>
    <t>Now type in a new intercept in the blue cell that is a bit higher than your current guess.</t>
  </si>
  <si>
    <t>Repeat it--keep typing in higher and higher intercepts. What happens to the sum of the residuals?</t>
  </si>
  <si>
    <t>Can you make the sum very negative?</t>
  </si>
  <si>
    <t>What do you think of the procedure "make the sum of the residuals as small as possible"?</t>
  </si>
  <si>
    <t>On one graph, we show the residuals as line segments from the data points to the fitted line.</t>
  </si>
  <si>
    <t>Compute the sum of the residuals here:</t>
  </si>
  <si>
    <t>hint: start with =sum( and then highlight the range of residuals.</t>
  </si>
  <si>
    <t>Another important way to think of them is as values that are above or below zero, as in this graph:</t>
  </si>
  <si>
    <t>Minimize the total distance from the points to the line, part 2</t>
  </si>
  <si>
    <t>What if we clarify it as "make the sum of the residuals as close to 0 as possible"--does that sound better?</t>
  </si>
  <si>
    <t>points on a line that makes the residuals sum to zero</t>
  </si>
  <si>
    <t>sum:</t>
  </si>
  <si>
    <t>Here is a line that does exactly that. There is no need to play with the slope and intercept.</t>
  </si>
  <si>
    <t>The sum of residuals is not precisely zero, but it is just a matter of roundoff error.</t>
  </si>
  <si>
    <t>Would you say this line is a good fit to the data set (better than your original by-eye line?)</t>
  </si>
  <si>
    <t>Is "make the sum of the residuals as close to 0 as possible" a good procedure for fitting a line?</t>
  </si>
  <si>
    <t>At this point, many people say "take absolute values of the residuals before summing".</t>
  </si>
  <si>
    <t>This is a fine idea, but turns out to be somewhat harder to implement than what we will end up doing.</t>
  </si>
  <si>
    <t>Another reason we don't use it as often is that there can be multiple lines that give the same sum of absolute residuals.</t>
  </si>
  <si>
    <t>Why? Absolute values have a corner point that isn't smooth, and that means we have to examine a bunch of different cases/possibilities.</t>
  </si>
  <si>
    <t>The technical name for this idea is "L1 regression". It is actually a good idea in some cases, if you don't mind doing a bit of extra work to get it implemented/running.</t>
  </si>
  <si>
    <t>You might be able to find web sites that do it for you.</t>
  </si>
  <si>
    <t>Most serious statistical software can also do it automatically.</t>
  </si>
  <si>
    <t>Minimize the largest distance from the points to the line</t>
  </si>
  <si>
    <t>It has the same basic problem as minimizing the sum of absolute residuals: it is harder to implement than what we will end up doing.</t>
  </si>
  <si>
    <t>It has another big problem: data points far outside the main cluster of data can move the line a lot.</t>
  </si>
  <si>
    <t>That is, the procedure is not "robust" to such data points.</t>
  </si>
  <si>
    <t>This turns out to be an okay idea sometimes. It is called "Chebyshev" regression or "L-infinity" regression.</t>
  </si>
  <si>
    <t>We can implement it in Excel using an add-in called "Solver".</t>
  </si>
  <si>
    <t>Still, we can implement it in Excel using an add-in called "Solver".</t>
  </si>
  <si>
    <t>So what should we do?</t>
  </si>
  <si>
    <t>Don't worry, later we will see some equations for the best slope &amp; intercept that are far more beautiful than the formulas that most textbooks use.</t>
  </si>
  <si>
    <t>The standard procedure is to minimize the sum of _squared_ residuals, rather than absolute residuals.</t>
  </si>
  <si>
    <t>We will explore this next.</t>
  </si>
  <si>
    <t>Why measure residuals vertically?</t>
  </si>
  <si>
    <t>Subtracting the y value of the line from the y value of the data point is measuring the distance vertically.</t>
  </si>
  <si>
    <t>If you want to measure the distance horizontally instead, the easiest thing to do is to switch the x and y variables before starting analysis.</t>
  </si>
  <si>
    <t>Does it make a difference? We will explore this idea much later.</t>
  </si>
  <si>
    <t>If you were in a geometry class, you would measure the distance from a point to a line by drawing a perpendicular to the line,</t>
  </si>
  <si>
    <t>It is what you should use if there are random measurement errors in your x values as well as your y values.</t>
  </si>
  <si>
    <t>However, since Excel doesn't do it automatically, it remains a somewhat specialized procedure.</t>
  </si>
  <si>
    <t>It can be useful also in computer-vision applications, where you are trying to detect straight lines in an image.</t>
  </si>
  <si>
    <t>rather than using a vertical line. This idea is called "orthogonal regression", or "errors in variables" (EIV), or "total least squares", and it is also often a good idea.</t>
  </si>
  <si>
    <t>Again, most serious statistical software can do it automatically.</t>
  </si>
  <si>
    <t>Obviously you should never believe any extrapolations this far from your data set (unless you're one of the pioneers of chemistry),</t>
  </si>
  <si>
    <t>and ask: at what temperature would the volume be zero ? We could call this "absolute zero" temperature.</t>
  </si>
  <si>
    <t>Any other ideas?</t>
  </si>
  <si>
    <t>Some high-school curriculum materials use what is called a "median-median" line.</t>
  </si>
  <si>
    <t>Data Gathering</t>
  </si>
  <si>
    <t>At this point, we will want some real-life data to practice regression on.</t>
  </si>
  <si>
    <t>Here is a suggestion: how do airfare charges vary with the length (distance) of a flight?</t>
  </si>
  <si>
    <t>and collect data on airfares for flights leaving that city, and the distance those flights travel.</t>
  </si>
  <si>
    <t>* Do you need all of the flights to be on the same airline?</t>
  </si>
  <si>
    <t>* Same date of departure (and date of return, if applicable?)</t>
  </si>
  <si>
    <t>* One-way or round-trip?</t>
  </si>
  <si>
    <t>* Same time-of-day of departure?</t>
  </si>
  <si>
    <t>* Same seating class (first-class vs. economy)</t>
  </si>
  <si>
    <t>* Do you want to allow intermediate stops, or will you insist on nonstop flights?</t>
  </si>
  <si>
    <t>* Some people say that international flights have more rational pricing than domestic flights. Perhaps collect two sets of data?</t>
  </si>
  <si>
    <t>Together, the class should pick a city (perhaps one that is an airline hub),</t>
  </si>
  <si>
    <t>It might be good to collect this data during one class session, or at home, then give the instructor</t>
  </si>
  <si>
    <t>some time to analyze it before using it on the rest of these sheets.</t>
  </si>
  <si>
    <t>All future sheets that use this data refer to the values here, so if you type in your newly collected data,</t>
  </si>
  <si>
    <t>Here is some example data, used in the book "Workshop Statistics"--but it is not clear when the data was taken.</t>
  </si>
  <si>
    <t>it will automatically appear everywhere that it is needed.</t>
  </si>
  <si>
    <t>Origin</t>
  </si>
  <si>
    <t>Baltimore</t>
  </si>
  <si>
    <t>This sheet uses the example airfares from Workshop Statistics, rather than updated versions of data that you collected.</t>
  </si>
  <si>
    <t>This sheet uses the the updated versions of data that you collected, rather than the data from Workshop Statistics. You will need to re-run the regression.</t>
  </si>
  <si>
    <t>Here is a copy of the data on the previous sheet:</t>
  </si>
  <si>
    <t>Adjust the values in the following 4 cells to give an informal line (by eye) that fits the data reasonably well.</t>
  </si>
  <si>
    <t>Data#</t>
  </si>
  <si>
    <t>airfare</t>
  </si>
  <si>
    <t>From these values, use Excel formulas to compute the slope:</t>
  </si>
  <si>
    <t>From the slope you calculated and the location of one of your endpoints, compute the intercept of your line.</t>
  </si>
  <si>
    <t>Remember that intercept = y1 - slope*x1</t>
  </si>
  <si>
    <t>Put together your answers from the above work to give a formula for your informal line.</t>
  </si>
  <si>
    <t>It uses the original airfare data set, not the one that you gathered.</t>
  </si>
  <si>
    <t>You can probably find web pages (perhaps GeoGebra applets?) that can do a similar plot.</t>
  </si>
  <si>
    <t>What are the units of the intercept in this problem?</t>
  </si>
  <si>
    <t>Now scatterplot x=Distance, y=Airfare in Excel, using the data below in the box.</t>
  </si>
  <si>
    <t>Then right-click on a true data point (not a yhat point) and choose "Add Trendline".</t>
  </si>
  <si>
    <t>What does the best-fit line predict near the middle of our data set?</t>
  </si>
  <si>
    <t>Let's see what y-values it predicts for the mean x value, and for the median x value.</t>
  </si>
  <si>
    <t>First, we'll compute the true least-squares line's slope and intercept:</t>
  </si>
  <si>
    <t>We often want to use one variable to predict values of another, possibly related, variable.</t>
  </si>
  <si>
    <t>* Many booking sites give you the distance if you ask for more flight details. Is this the same as the actual distance? You can find web sites that will give you the distance between airports.</t>
  </si>
  <si>
    <t>?</t>
  </si>
  <si>
    <t>date/time observed</t>
  </si>
  <si>
    <t>You must limit it to 12 data points, though.</t>
  </si>
  <si>
    <t>Some things to think about, and perhaps decide as a 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</si>
</sst>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00"/>
    <numFmt numFmtId="165" formatCode="0.0000"/>
    <numFmt numFmtId="166" formatCode="_(&quot;$&quot;* #,##0_);_(&quot;$&quot;* \(#,##0\);_(&quot;$&quot;* &quot;-&quot;??_);_(@_)"/>
    <numFmt numFmtId="167" formatCode="_(* #,##0_);_(* \(#,##0\);_(* &quot;-&quot;??_);_(@_)"/>
    <numFmt numFmtId="168" formatCode="&quot;$&quot;#,##0.00"/>
    <numFmt numFmtId="169" formatCode="0.000000"/>
    <numFmt numFmtId="170" formatCode="0.0%"/>
  </numFmts>
  <fonts count="18" x14ac:knownFonts="1">
    <font>
      <sz val="11"/>
      <color theme="1"/>
      <name val="Calibri"/>
      <family val="2"/>
      <scheme val="minor"/>
    </font>
    <font>
      <sz val="11"/>
      <color theme="1"/>
      <name val="Calibri"/>
      <family val="2"/>
      <scheme val="minor"/>
    </font>
    <font>
      <sz val="10"/>
      <name val="MS Sans Serif"/>
      <family val="2"/>
    </font>
    <font>
      <sz val="10"/>
      <name val="Times New Roman"/>
      <family val="1"/>
    </font>
    <font>
      <sz val="10"/>
      <name val="Arial"/>
      <family val="2"/>
    </font>
    <font>
      <sz val="8"/>
      <color indexed="81"/>
      <name val="Tahoma"/>
      <family val="2"/>
    </font>
    <font>
      <b/>
      <sz val="8"/>
      <color indexed="81"/>
      <name val="Tahoma"/>
      <family val="2"/>
    </font>
    <font>
      <u/>
      <sz val="11"/>
      <color theme="10"/>
      <name val="Calibri"/>
      <family val="2"/>
    </font>
    <font>
      <sz val="14"/>
      <color rgb="FF000000"/>
      <name val="Times New Roman"/>
      <family val="1"/>
    </font>
    <font>
      <sz val="11"/>
      <color theme="1"/>
      <name val="Times New Roman"/>
      <family val="1"/>
    </font>
    <font>
      <i/>
      <sz val="11"/>
      <color theme="1"/>
      <name val="Times New Roman"/>
      <family val="1"/>
    </font>
    <font>
      <i/>
      <sz val="14"/>
      <color rgb="FF000000"/>
      <name val="Times New Roman"/>
      <family val="1"/>
    </font>
    <font>
      <sz val="24"/>
      <color theme="1"/>
      <name val="Calibri"/>
      <family val="2"/>
      <scheme val="minor"/>
    </font>
    <font>
      <i/>
      <sz val="11"/>
      <color theme="1"/>
      <name val="Calibri"/>
      <family val="2"/>
      <scheme val="minor"/>
    </font>
    <font>
      <b/>
      <sz val="15"/>
      <color theme="3"/>
      <name val="Calibri"/>
      <family val="2"/>
      <scheme val="minor"/>
    </font>
    <font>
      <b/>
      <sz val="13"/>
      <color theme="3"/>
      <name val="Calibri"/>
      <family val="2"/>
      <scheme val="minor"/>
    </font>
    <font>
      <u/>
      <sz val="11"/>
      <color theme="1"/>
      <name val="Calibri"/>
      <family val="2"/>
      <scheme val="minor"/>
    </font>
    <font>
      <b/>
      <sz val="11"/>
      <color theme="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43" fontId="4" fillId="0" borderId="0" applyFont="0" applyFill="0" applyBorder="0" applyAlignment="0" applyProtection="0"/>
    <xf numFmtId="0" fontId="7" fillId="0" borderId="0" applyNumberFormat="0" applyFill="0" applyBorder="0" applyAlignment="0" applyProtection="0">
      <alignment vertical="top"/>
      <protection locked="0"/>
    </xf>
    <xf numFmtId="0" fontId="14" fillId="0" borderId="8" applyNumberFormat="0" applyFill="0" applyAlignment="0" applyProtection="0"/>
    <xf numFmtId="0" fontId="15" fillId="0" borderId="9" applyNumberFormat="0" applyFill="0" applyAlignment="0" applyProtection="0"/>
    <xf numFmtId="9" fontId="1" fillId="0" borderId="0" applyFont="0" applyFill="0" applyBorder="0" applyAlignment="0" applyProtection="0"/>
    <xf numFmtId="0" fontId="17" fillId="0" borderId="15" applyNumberFormat="0" applyFill="0" applyAlignment="0" applyProtection="0"/>
  </cellStyleXfs>
  <cellXfs count="94">
    <xf numFmtId="0" fontId="0" fillId="0" borderId="0" xfId="0"/>
    <xf numFmtId="164" fontId="0" fillId="0" borderId="0" xfId="0" applyNumberFormat="1"/>
    <xf numFmtId="9" fontId="3" fillId="0" borderId="0" xfId="5" applyFont="1" applyFill="1" applyAlignment="1">
      <alignment wrapText="1"/>
    </xf>
    <xf numFmtId="43" fontId="3" fillId="0" borderId="0" xfId="3" quotePrefix="1" applyFont="1" applyFill="1"/>
    <xf numFmtId="44" fontId="3" fillId="0" borderId="0" xfId="4" quotePrefix="1" applyFont="1" applyFill="1" applyAlignment="1">
      <alignment wrapText="1"/>
    </xf>
    <xf numFmtId="166" fontId="3" fillId="0" borderId="0" xfId="4" quotePrefix="1" applyNumberFormat="1" applyFont="1" applyFill="1"/>
    <xf numFmtId="0" fontId="4" fillId="0" borderId="0" xfId="6"/>
    <xf numFmtId="167" fontId="4" fillId="0" borderId="0" xfId="7" applyNumberFormat="1" applyFont="1"/>
    <xf numFmtId="167" fontId="4" fillId="0" borderId="0" xfId="6" applyNumberFormat="1"/>
    <xf numFmtId="0" fontId="4" fillId="0" borderId="0" xfId="6" applyFont="1"/>
    <xf numFmtId="0" fontId="0" fillId="2" borderId="0" xfId="0" applyFill="1"/>
    <xf numFmtId="0" fontId="0" fillId="0" borderId="4" xfId="0" applyBorder="1"/>
    <xf numFmtId="44" fontId="0" fillId="0" borderId="0" xfId="2" applyFont="1"/>
    <xf numFmtId="166" fontId="0" fillId="0" borderId="0" xfId="2" applyNumberFormat="1" applyFont="1"/>
    <xf numFmtId="168" fontId="0" fillId="0" borderId="0" xfId="2" applyNumberFormat="1" applyFont="1"/>
    <xf numFmtId="43" fontId="0" fillId="0" borderId="0" xfId="1" applyFont="1"/>
    <xf numFmtId="0" fontId="0" fillId="0" borderId="5" xfId="0" applyBorder="1"/>
    <xf numFmtId="44" fontId="0" fillId="0" borderId="5" xfId="2" applyFont="1" applyBorder="1"/>
    <xf numFmtId="165" fontId="0" fillId="2" borderId="5" xfId="0" applyNumberFormat="1" applyFill="1" applyBorder="1"/>
    <xf numFmtId="43" fontId="0" fillId="2" borderId="5" xfId="1" applyFont="1" applyFill="1" applyBorder="1"/>
    <xf numFmtId="43" fontId="0" fillId="2" borderId="0" xfId="1" applyFont="1" applyFill="1"/>
    <xf numFmtId="165" fontId="0" fillId="2" borderId="0" xfId="0" applyNumberFormat="1" applyFill="1"/>
    <xf numFmtId="168" fontId="0" fillId="0" borderId="0" xfId="0" applyNumberFormat="1"/>
    <xf numFmtId="169" fontId="0" fillId="2" borderId="0" xfId="0" applyNumberFormat="1" applyFill="1"/>
    <xf numFmtId="44" fontId="0" fillId="2" borderId="0" xfId="2" applyFont="1" applyFill="1"/>
    <xf numFmtId="0" fontId="7" fillId="0" borderId="0" xfId="8" applyAlignment="1" applyProtection="1"/>
    <xf numFmtId="0" fontId="8" fillId="0" borderId="0" xfId="0" applyFont="1"/>
    <xf numFmtId="0" fontId="8" fillId="0" borderId="0" xfId="0" applyFont="1" applyAlignment="1">
      <alignment wrapText="1"/>
    </xf>
    <xf numFmtId="0" fontId="0" fillId="0" borderId="0" xfId="0" applyAlignment="1">
      <alignment horizontal="left" wrapText="1" indent="1"/>
    </xf>
    <xf numFmtId="0" fontId="8" fillId="0" borderId="0" xfId="0" applyFont="1" applyAlignment="1">
      <alignment horizontal="left" wrapText="1" indent="1"/>
    </xf>
    <xf numFmtId="0" fontId="7" fillId="0" borderId="0" xfId="8" applyAlignment="1" applyProtection="1">
      <alignment horizontal="left" wrapText="1" indent="1"/>
    </xf>
    <xf numFmtId="0" fontId="0" fillId="0" borderId="0" xfId="0" applyAlignment="1">
      <alignment vertical="top" wrapText="1"/>
    </xf>
    <xf numFmtId="0" fontId="9" fillId="0" borderId="0" xfId="0" applyFont="1" applyAlignment="1">
      <alignment vertical="top" wrapText="1"/>
    </xf>
    <xf numFmtId="0" fontId="0" fillId="0" borderId="0" xfId="0" applyAlignment="1">
      <alignment horizontal="left" vertical="top" wrapText="1" indent="1"/>
    </xf>
    <xf numFmtId="0" fontId="9" fillId="0" borderId="0" xfId="0" applyFont="1" applyAlignment="1">
      <alignment horizontal="left" vertical="top" wrapText="1" indent="1"/>
    </xf>
    <xf numFmtId="0" fontId="9" fillId="0" borderId="0" xfId="0" applyFont="1" applyAlignment="1">
      <alignment horizontal="left" vertical="top" wrapText="1" indent="2"/>
    </xf>
    <xf numFmtId="0" fontId="10" fillId="0" borderId="0" xfId="0" applyFont="1" applyAlignment="1">
      <alignment vertical="top" wrapText="1"/>
    </xf>
    <xf numFmtId="0" fontId="0" fillId="2" borderId="1" xfId="0" applyFill="1" applyBorder="1"/>
    <xf numFmtId="0" fontId="12" fillId="0" borderId="0" xfId="0" applyFont="1"/>
    <xf numFmtId="0" fontId="0" fillId="0" borderId="0" xfId="0" applyFill="1" applyBorder="1" applyAlignment="1"/>
    <xf numFmtId="0" fontId="0" fillId="0" borderId="6" xfId="0" applyFill="1" applyBorder="1" applyAlignment="1"/>
    <xf numFmtId="0" fontId="13" fillId="0" borderId="7" xfId="0" applyFont="1" applyFill="1" applyBorder="1" applyAlignment="1">
      <alignment horizontal="center"/>
    </xf>
    <xf numFmtId="0" fontId="13" fillId="0" borderId="7" xfId="0" applyFont="1" applyFill="1" applyBorder="1" applyAlignment="1">
      <alignment horizontal="centerContinuous"/>
    </xf>
    <xf numFmtId="0" fontId="13" fillId="0" borderId="7" xfId="0" applyFont="1" applyFill="1" applyBorder="1" applyAlignment="1">
      <alignment horizontal="center" wrapText="1"/>
    </xf>
    <xf numFmtId="0" fontId="0" fillId="3" borderId="0" xfId="0" applyFill="1"/>
    <xf numFmtId="0" fontId="0" fillId="2" borderId="5" xfId="0" applyFill="1" applyBorder="1"/>
    <xf numFmtId="0" fontId="0" fillId="4" borderId="0" xfId="0" applyFill="1"/>
    <xf numFmtId="0" fontId="0" fillId="0" borderId="0" xfId="0" applyFill="1"/>
    <xf numFmtId="0" fontId="0" fillId="0" borderId="2" xfId="0" applyFill="1" applyBorder="1"/>
    <xf numFmtId="0" fontId="0" fillId="0" borderId="3" xfId="0" applyFill="1" applyBorder="1"/>
    <xf numFmtId="2" fontId="0" fillId="0" borderId="0" xfId="0" applyNumberFormat="1"/>
    <xf numFmtId="0" fontId="0" fillId="0" borderId="0" xfId="2" applyNumberFormat="1" applyFont="1"/>
    <xf numFmtId="165" fontId="0" fillId="0" borderId="0" xfId="0" applyNumberFormat="1"/>
    <xf numFmtId="0" fontId="0" fillId="5" borderId="0" xfId="0" applyFill="1"/>
    <xf numFmtId="0" fontId="15" fillId="0" borderId="9" xfId="10"/>
    <xf numFmtId="0" fontId="14" fillId="0" borderId="8" xfId="9"/>
    <xf numFmtId="0" fontId="0" fillId="0" borderId="0" xfId="0" applyBorder="1" applyAlignment="1">
      <alignment horizontal="right"/>
    </xf>
    <xf numFmtId="0" fontId="0" fillId="0" borderId="0" xfId="0" applyAlignment="1">
      <alignment horizontal="right"/>
    </xf>
    <xf numFmtId="0" fontId="0" fillId="6" borderId="0" xfId="0" applyFill="1"/>
    <xf numFmtId="0" fontId="0" fillId="6" borderId="0" xfId="0" applyFill="1" applyAlignment="1">
      <alignment horizontal="right"/>
    </xf>
    <xf numFmtId="0" fontId="0" fillId="5" borderId="0" xfId="0" applyFont="1" applyFill="1" applyBorder="1" applyAlignment="1">
      <alignment horizontal="left"/>
    </xf>
    <xf numFmtId="0" fontId="0" fillId="0" borderId="10" xfId="0" applyBorder="1"/>
    <xf numFmtId="0" fontId="0" fillId="0" borderId="11" xfId="2" applyNumberFormat="1" applyFont="1" applyBorder="1"/>
    <xf numFmtId="0" fontId="0" fillId="0" borderId="12" xfId="2" applyNumberFormat="1" applyFont="1" applyBorder="1"/>
    <xf numFmtId="0" fontId="0" fillId="0" borderId="13" xfId="0" applyBorder="1"/>
    <xf numFmtId="0" fontId="0" fillId="0" borderId="14" xfId="2" applyNumberFormat="1" applyFont="1" applyBorder="1"/>
    <xf numFmtId="2" fontId="0" fillId="0" borderId="0" xfId="0" applyNumberFormat="1" applyFill="1" applyAlignment="1">
      <alignment wrapText="1"/>
    </xf>
    <xf numFmtId="2" fontId="0" fillId="0" borderId="0" xfId="0" applyNumberFormat="1" applyAlignment="1">
      <alignment wrapText="1"/>
    </xf>
    <xf numFmtId="44" fontId="3" fillId="0" borderId="0" xfId="4" applyFont="1" applyFill="1" applyAlignment="1">
      <alignment wrapText="1"/>
    </xf>
    <xf numFmtId="0" fontId="0" fillId="0" borderId="0" xfId="1" applyNumberFormat="1" applyFont="1"/>
    <xf numFmtId="170" fontId="0" fillId="0" borderId="0" xfId="11" applyNumberFormat="1" applyFont="1"/>
    <xf numFmtId="0" fontId="17" fillId="0" borderId="15" xfId="12"/>
    <xf numFmtId="0" fontId="0" fillId="0" borderId="0" xfId="0" applyNumberFormat="1"/>
    <xf numFmtId="43" fontId="0" fillId="0" borderId="0" xfId="0" applyNumberFormat="1"/>
    <xf numFmtId="0" fontId="0" fillId="0" borderId="16" xfId="0" applyNumberFormat="1" applyBorder="1"/>
    <xf numFmtId="0" fontId="0" fillId="0" borderId="17" xfId="0" applyNumberFormat="1" applyBorder="1"/>
    <xf numFmtId="0" fontId="0" fillId="0" borderId="18" xfId="0" applyNumberFormat="1" applyBorder="1"/>
    <xf numFmtId="2" fontId="0" fillId="0" borderId="16" xfId="0" applyNumberFormat="1" applyBorder="1"/>
    <xf numFmtId="2" fontId="0" fillId="0" borderId="17" xfId="0" applyNumberFormat="1" applyBorder="1"/>
    <xf numFmtId="2" fontId="0" fillId="0" borderId="18" xfId="0" applyNumberFormat="1" applyBorder="1"/>
    <xf numFmtId="0" fontId="0" fillId="7" borderId="0" xfId="0" applyFill="1"/>
    <xf numFmtId="43" fontId="0" fillId="2" borderId="0" xfId="0" applyNumberFormat="1" applyFill="1"/>
    <xf numFmtId="43" fontId="0" fillId="0" borderId="0" xfId="1" applyNumberFormat="1" applyFont="1"/>
    <xf numFmtId="11" fontId="0" fillId="0" borderId="0" xfId="0" applyNumberFormat="1"/>
    <xf numFmtId="0" fontId="0" fillId="0" borderId="19" xfId="0" applyBorder="1"/>
    <xf numFmtId="0" fontId="0" fillId="0" borderId="20" xfId="0" applyBorder="1"/>
    <xf numFmtId="0" fontId="0" fillId="0" borderId="21" xfId="0" applyBorder="1"/>
    <xf numFmtId="0" fontId="0" fillId="0" borderId="22" xfId="0" applyBorder="1"/>
    <xf numFmtId="168" fontId="0" fillId="0" borderId="0" xfId="2" applyNumberFormat="1" applyFont="1" applyBorder="1"/>
    <xf numFmtId="44" fontId="0" fillId="0" borderId="23" xfId="2" applyFont="1" applyBorder="1"/>
    <xf numFmtId="0" fontId="0" fillId="0" borderId="24" xfId="0" applyBorder="1"/>
    <xf numFmtId="168" fontId="0" fillId="0" borderId="6" xfId="2" applyNumberFormat="1" applyFont="1" applyBorder="1"/>
    <xf numFmtId="44" fontId="0" fillId="0" borderId="25" xfId="2" applyFont="1" applyBorder="1"/>
    <xf numFmtId="166" fontId="0" fillId="2" borderId="0" xfId="2" applyNumberFormat="1" applyFont="1" applyFill="1"/>
  </cellXfs>
  <cellStyles count="13">
    <cellStyle name="Comma" xfId="1" builtinId="3"/>
    <cellStyle name="Comma 3" xfId="3"/>
    <cellStyle name="Comma 4" xfId="7"/>
    <cellStyle name="Currency" xfId="2" builtinId="4"/>
    <cellStyle name="Currency 3" xfId="4"/>
    <cellStyle name="Heading 1" xfId="9" builtinId="16"/>
    <cellStyle name="Heading 2" xfId="10" builtinId="17"/>
    <cellStyle name="Heading 3" xfId="12" builtinId="18"/>
    <cellStyle name="Hyperlink" xfId="8" builtinId="8"/>
    <cellStyle name="Normal" xfId="0" builtinId="0"/>
    <cellStyle name="Normal 4" xfId="6"/>
    <cellStyle name="Percent" xfId="11" builtinId="5"/>
    <cellStyle name="Percent 3" xfId="5"/>
  </cellStyles>
  <dxfs count="1">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Oxygen</a:t>
            </a:r>
            <a:r>
              <a:rPr lang="en-US" baseline="0"/>
              <a:t> at 1 atm pressure</a:t>
            </a:r>
            <a:endParaRPr lang="en-US"/>
          </a:p>
        </c:rich>
      </c:tx>
      <c:layout/>
      <c:overlay val="0"/>
    </c:title>
    <c:autoTitleDeleted val="0"/>
    <c:plotArea>
      <c:layout/>
      <c:scatterChart>
        <c:scatterStyle val="lineMarker"/>
        <c:varyColors val="0"/>
        <c:ser>
          <c:idx val="0"/>
          <c:order val="0"/>
          <c:tx>
            <c:strRef>
              <c:f>threetypes!$C$19</c:f>
              <c:strCache>
                <c:ptCount val="1"/>
                <c:pt idx="0">
                  <c:v>volume, Liters</c:v>
                </c:pt>
              </c:strCache>
            </c:strRef>
          </c:tx>
          <c:spPr>
            <a:ln w="28575">
              <a:noFill/>
            </a:ln>
          </c:spPr>
          <c:xVal>
            <c:numRef>
              <c:f>threetypes!$B$20:$B$31</c:f>
              <c:numCache>
                <c:formatCode>General</c:formatCode>
                <c:ptCount val="12"/>
                <c:pt idx="0">
                  <c:v>20</c:v>
                </c:pt>
                <c:pt idx="1">
                  <c:v>20</c:v>
                </c:pt>
                <c:pt idx="2">
                  <c:v>20</c:v>
                </c:pt>
                <c:pt idx="3">
                  <c:v>40</c:v>
                </c:pt>
                <c:pt idx="4">
                  <c:v>40</c:v>
                </c:pt>
                <c:pt idx="5">
                  <c:v>40</c:v>
                </c:pt>
                <c:pt idx="6">
                  <c:v>60</c:v>
                </c:pt>
                <c:pt idx="7">
                  <c:v>60</c:v>
                </c:pt>
                <c:pt idx="8">
                  <c:v>60</c:v>
                </c:pt>
                <c:pt idx="9">
                  <c:v>80</c:v>
                </c:pt>
                <c:pt idx="10">
                  <c:v>80</c:v>
                </c:pt>
                <c:pt idx="11">
                  <c:v>80</c:v>
                </c:pt>
              </c:numCache>
            </c:numRef>
          </c:xVal>
          <c:yVal>
            <c:numRef>
              <c:f>threetypes!$C$20:$C$31</c:f>
              <c:numCache>
                <c:formatCode>0.000</c:formatCode>
                <c:ptCount val="12"/>
                <c:pt idx="0">
                  <c:v>2.3769999999999998</c:v>
                </c:pt>
                <c:pt idx="1">
                  <c:v>2.0819999999999999</c:v>
                </c:pt>
                <c:pt idx="2">
                  <c:v>2.2909999999999999</c:v>
                </c:pt>
                <c:pt idx="3">
                  <c:v>2.61</c:v>
                </c:pt>
                <c:pt idx="4">
                  <c:v>2.194</c:v>
                </c:pt>
                <c:pt idx="5">
                  <c:v>2.718</c:v>
                </c:pt>
                <c:pt idx="6">
                  <c:v>2.9359999999999999</c:v>
                </c:pt>
                <c:pt idx="7">
                  <c:v>2.5409999999999999</c:v>
                </c:pt>
                <c:pt idx="8">
                  <c:v>2.97</c:v>
                </c:pt>
                <c:pt idx="9">
                  <c:v>2.9589999999999996</c:v>
                </c:pt>
                <c:pt idx="10">
                  <c:v>3.2079999999999997</c:v>
                </c:pt>
                <c:pt idx="11">
                  <c:v>2.4319999999999999</c:v>
                </c:pt>
              </c:numCache>
            </c:numRef>
          </c:yVal>
          <c:smooth val="0"/>
        </c:ser>
        <c:dLbls>
          <c:showLegendKey val="0"/>
          <c:showVal val="0"/>
          <c:showCatName val="0"/>
          <c:showSerName val="0"/>
          <c:showPercent val="0"/>
          <c:showBubbleSize val="0"/>
        </c:dLbls>
        <c:axId val="81895424"/>
        <c:axId val="81897344"/>
      </c:scatterChart>
      <c:valAx>
        <c:axId val="81895424"/>
        <c:scaling>
          <c:orientation val="minMax"/>
        </c:scaling>
        <c:delete val="0"/>
        <c:axPos val="b"/>
        <c:title>
          <c:tx>
            <c:rich>
              <a:bodyPr/>
              <a:lstStyle/>
              <a:p>
                <a:pPr>
                  <a:defRPr/>
                </a:pPr>
                <a:r>
                  <a:rPr lang="en-US"/>
                  <a:t>Temperature (deg C)</a:t>
                </a:r>
              </a:p>
            </c:rich>
          </c:tx>
          <c:layout/>
          <c:overlay val="0"/>
        </c:title>
        <c:numFmt formatCode="General" sourceLinked="1"/>
        <c:majorTickMark val="out"/>
        <c:minorTickMark val="none"/>
        <c:tickLblPos val="nextTo"/>
        <c:crossAx val="81897344"/>
        <c:crosses val="autoZero"/>
        <c:crossBetween val="midCat"/>
      </c:valAx>
      <c:valAx>
        <c:axId val="81897344"/>
        <c:scaling>
          <c:orientation val="minMax"/>
        </c:scaling>
        <c:delete val="0"/>
        <c:axPos val="l"/>
        <c:majorGridlines/>
        <c:title>
          <c:tx>
            <c:rich>
              <a:bodyPr rot="-5400000" vert="horz"/>
              <a:lstStyle/>
              <a:p>
                <a:pPr>
                  <a:defRPr/>
                </a:pPr>
                <a:r>
                  <a:rPr lang="en-US"/>
                  <a:t>Volume (L)</a:t>
                </a:r>
              </a:p>
            </c:rich>
          </c:tx>
          <c:layout/>
          <c:overlay val="0"/>
        </c:title>
        <c:numFmt formatCode="0.0" sourceLinked="0"/>
        <c:majorTickMark val="out"/>
        <c:minorTickMark val="none"/>
        <c:tickLblPos val="nextTo"/>
        <c:crossAx val="8189542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Various</a:t>
            </a:r>
            <a:r>
              <a:rPr lang="en-US" baseline="0"/>
              <a:t> Fitted Lines</a:t>
            </a:r>
            <a:endParaRPr lang="en-US"/>
          </a:p>
        </c:rich>
      </c:tx>
      <c:overlay val="0"/>
    </c:title>
    <c:autoTitleDeleted val="0"/>
    <c:plotArea>
      <c:layout/>
      <c:scatterChart>
        <c:scatterStyle val="lineMarker"/>
        <c:varyColors val="0"/>
        <c:ser>
          <c:idx val="0"/>
          <c:order val="0"/>
          <c:tx>
            <c:strRef>
              <c:f>informalfits!$F$54</c:f>
              <c:strCache>
                <c:ptCount val="1"/>
                <c:pt idx="0">
                  <c:v>Student/ teacher ratio</c:v>
                </c:pt>
              </c:strCache>
            </c:strRef>
          </c:tx>
          <c:spPr>
            <a:ln w="28575">
              <a:noFill/>
            </a:ln>
          </c:spPr>
          <c:xVal>
            <c:numRef>
              <c:f>informalfits!$E$55:$E$64</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informalfits!$F$55:$F$64</c:f>
              <c:numCache>
                <c:formatCode>_(* #,##0.00_);_(* \(#,##0.00\);_(* "-"??_);_(@_)</c:formatCode>
                <c:ptCount val="1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numCache>
            </c:numRef>
          </c:yVal>
          <c:smooth val="0"/>
        </c:ser>
        <c:ser>
          <c:idx val="3"/>
          <c:order val="1"/>
          <c:tx>
            <c:v>informal line of best fit</c:v>
          </c:tx>
          <c:spPr>
            <a:ln w="28575">
              <a:solidFill>
                <a:srgbClr val="92D050"/>
              </a:solidFill>
            </a:ln>
          </c:spPr>
          <c:marker>
            <c:symbol val="none"/>
          </c:marke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informalfits!$E$16:$E$25</c:f>
              <c:numCache>
                <c:formatCode>General</c:formatCode>
                <c:ptCount val="10"/>
                <c:pt idx="0">
                  <c:v>14.069700000000001</c:v>
                </c:pt>
                <c:pt idx="1">
                  <c:v>13.015599999999999</c:v>
                </c:pt>
                <c:pt idx="2">
                  <c:v>12.5448</c:v>
                </c:pt>
                <c:pt idx="3">
                  <c:v>12.650400000000001</c:v>
                </c:pt>
                <c:pt idx="4">
                  <c:v>13.2424</c:v>
                </c:pt>
                <c:pt idx="5">
                  <c:v>12.2508</c:v>
                </c:pt>
                <c:pt idx="6">
                  <c:v>13.0831</c:v>
                </c:pt>
                <c:pt idx="7">
                  <c:v>12.8376</c:v>
                </c:pt>
                <c:pt idx="8">
                  <c:v>12.9992</c:v>
                </c:pt>
                <c:pt idx="9">
                  <c:v>12.536799999999999</c:v>
                </c:pt>
              </c:numCache>
            </c:numRef>
          </c:yVal>
          <c:smooth val="0"/>
        </c:ser>
        <c:ser>
          <c:idx val="4"/>
          <c:order val="2"/>
          <c:tx>
            <c:v>Divide the data in half</c:v>
          </c:tx>
          <c:spPr>
            <a:ln w="28575">
              <a:solidFill>
                <a:schemeClr val="bg1">
                  <a:lumMod val="50000"/>
                </a:schemeClr>
              </a:solidFill>
            </a:ln>
          </c:spPr>
          <c:marker>
            <c:symbol val="none"/>
          </c:marker>
          <c:xVal>
            <c:numRef>
              <c:f>informalfits!$D$137:$D$146</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informalfits!$F$137:$F$146</c:f>
              <c:numCache>
                <c:formatCode>0.00</c:formatCode>
                <c:ptCount val="10"/>
                <c:pt idx="0">
                  <c:v>10.151499999999999</c:v>
                </c:pt>
                <c:pt idx="1">
                  <c:v>15.422000000000001</c:v>
                </c:pt>
                <c:pt idx="2">
                  <c:v>17.776</c:v>
                </c:pt>
                <c:pt idx="3">
                  <c:v>17.248000000000001</c:v>
                </c:pt>
                <c:pt idx="4">
                  <c:v>14.288</c:v>
                </c:pt>
                <c:pt idx="5">
                  <c:v>19.245999999999999</c:v>
                </c:pt>
                <c:pt idx="6">
                  <c:v>15.084499999999998</c:v>
                </c:pt>
                <c:pt idx="7">
                  <c:v>16.312000000000001</c:v>
                </c:pt>
                <c:pt idx="8">
                  <c:v>15.503999999999998</c:v>
                </c:pt>
                <c:pt idx="9">
                  <c:v>17.815999999999999</c:v>
                </c:pt>
              </c:numCache>
            </c:numRef>
          </c:yVal>
          <c:smooth val="0"/>
        </c:ser>
        <c:dLbls>
          <c:showLegendKey val="0"/>
          <c:showVal val="0"/>
          <c:showCatName val="0"/>
          <c:showSerName val="0"/>
          <c:showPercent val="0"/>
          <c:showBubbleSize val="0"/>
        </c:dLbls>
        <c:axId val="85905792"/>
        <c:axId val="85908096"/>
      </c:scatterChart>
      <c:valAx>
        <c:axId val="85905792"/>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85908096"/>
        <c:crosses val="autoZero"/>
        <c:crossBetween val="midCat"/>
        <c:dispUnits>
          <c:builtInUnit val="thousands"/>
          <c:dispUnitsLbl/>
        </c:dispUnits>
      </c:valAx>
      <c:valAx>
        <c:axId val="85908096"/>
        <c:scaling>
          <c:orientation val="minMax"/>
          <c:min val="10"/>
        </c:scaling>
        <c:delete val="0"/>
        <c:axPos val="l"/>
        <c:majorGridlines/>
        <c:title>
          <c:tx>
            <c:rich>
              <a:bodyPr rot="-5400000" vert="horz"/>
              <a:lstStyle/>
              <a:p>
                <a:pPr>
                  <a:defRPr/>
                </a:pPr>
                <a:r>
                  <a:rPr lang="en-US"/>
                  <a:t>Student/Teacher Ratio in each district</a:t>
                </a:r>
              </a:p>
            </c:rich>
          </c:tx>
          <c:overlay val="0"/>
        </c:title>
        <c:numFmt formatCode="#,##0" sourceLinked="0"/>
        <c:majorTickMark val="out"/>
        <c:minorTickMark val="none"/>
        <c:tickLblPos val="nextTo"/>
        <c:crossAx val="85905792"/>
        <c:crosses val="autoZero"/>
        <c:crossBetween val="midCat"/>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Informal</a:t>
            </a:r>
            <a:r>
              <a:rPr lang="en-US" baseline="0"/>
              <a:t> Fitted Line, with residuals as line segments</a:t>
            </a:r>
            <a:endParaRPr lang="en-US"/>
          </a:p>
        </c:rich>
      </c:tx>
      <c:overlay val="0"/>
    </c:title>
    <c:autoTitleDeleted val="0"/>
    <c:plotArea>
      <c:layout/>
      <c:scatterChart>
        <c:scatterStyle val="lineMarker"/>
        <c:varyColors val="0"/>
        <c:ser>
          <c:idx val="0"/>
          <c:order val="0"/>
          <c:tx>
            <c:strRef>
              <c:f>informalfits!$F$54</c:f>
              <c:strCache>
                <c:ptCount val="1"/>
                <c:pt idx="0">
                  <c:v>Student/ teacher ratio</c:v>
                </c:pt>
              </c:strCache>
            </c:strRef>
          </c:tx>
          <c:spPr>
            <a:ln w="28575">
              <a:noFill/>
            </a:ln>
          </c:spPr>
          <c:xVal>
            <c:numRef>
              <c:f>informalfits!$E$55:$E$64</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informalfits!$F$55:$F$64</c:f>
              <c:numCache>
                <c:formatCode>_(* #,##0.00_);_(* \(#,##0.00\);_(* "-"??_);_(@_)</c:formatCode>
                <c:ptCount val="1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numCache>
            </c:numRef>
          </c:yVal>
          <c:smooth val="0"/>
        </c:ser>
        <c:ser>
          <c:idx val="3"/>
          <c:order val="1"/>
          <c:tx>
            <c:v>informal line of best fit</c:v>
          </c:tx>
          <c:spPr>
            <a:ln w="28575">
              <a:solidFill>
                <a:srgbClr val="92D050"/>
              </a:solidFill>
            </a:ln>
          </c:spPr>
          <c:marker>
            <c:symbol val="none"/>
          </c:marke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informalfits!$E$16:$E$25</c:f>
              <c:numCache>
                <c:formatCode>General</c:formatCode>
                <c:ptCount val="10"/>
                <c:pt idx="0">
                  <c:v>14.069700000000001</c:v>
                </c:pt>
                <c:pt idx="1">
                  <c:v>13.015599999999999</c:v>
                </c:pt>
                <c:pt idx="2">
                  <c:v>12.5448</c:v>
                </c:pt>
                <c:pt idx="3">
                  <c:v>12.650400000000001</c:v>
                </c:pt>
                <c:pt idx="4">
                  <c:v>13.2424</c:v>
                </c:pt>
                <c:pt idx="5">
                  <c:v>12.2508</c:v>
                </c:pt>
                <c:pt idx="6">
                  <c:v>13.0831</c:v>
                </c:pt>
                <c:pt idx="7">
                  <c:v>12.8376</c:v>
                </c:pt>
                <c:pt idx="8">
                  <c:v>12.9992</c:v>
                </c:pt>
                <c:pt idx="9">
                  <c:v>12.536799999999999</c:v>
                </c:pt>
              </c:numCache>
            </c:numRef>
          </c:yVal>
          <c:smooth val="0"/>
        </c:ser>
        <c:ser>
          <c:idx val="1"/>
          <c:order val="2"/>
          <c:tx>
            <c:v>residuals as line segments</c:v>
          </c:tx>
          <c:spPr>
            <a:ln w="28575">
              <a:solidFill>
                <a:srgbClr val="FF0000"/>
              </a:solidFill>
            </a:ln>
          </c:spPr>
          <c:marker>
            <c:symbol val="none"/>
          </c:marker>
          <c:xVal>
            <c:numRef>
              <c:f>informalfits!$Q$176:$Q$204</c:f>
              <c:numCache>
                <c:formatCode>General</c:formatCode>
                <c:ptCount val="29"/>
                <c:pt idx="0">
                  <c:v>60697</c:v>
                </c:pt>
                <c:pt idx="1">
                  <c:v>60697</c:v>
                </c:pt>
                <c:pt idx="3">
                  <c:v>50156</c:v>
                </c:pt>
                <c:pt idx="4">
                  <c:v>50156</c:v>
                </c:pt>
                <c:pt idx="6">
                  <c:v>45448</c:v>
                </c:pt>
                <c:pt idx="7">
                  <c:v>45448</c:v>
                </c:pt>
                <c:pt idx="9">
                  <c:v>46504</c:v>
                </c:pt>
                <c:pt idx="10">
                  <c:v>46504</c:v>
                </c:pt>
                <c:pt idx="12">
                  <c:v>52424</c:v>
                </c:pt>
                <c:pt idx="13">
                  <c:v>52424</c:v>
                </c:pt>
                <c:pt idx="15">
                  <c:v>42508</c:v>
                </c:pt>
                <c:pt idx="16">
                  <c:v>42508</c:v>
                </c:pt>
                <c:pt idx="18">
                  <c:v>50831</c:v>
                </c:pt>
                <c:pt idx="19">
                  <c:v>50831</c:v>
                </c:pt>
                <c:pt idx="21">
                  <c:v>48376</c:v>
                </c:pt>
                <c:pt idx="22">
                  <c:v>48376</c:v>
                </c:pt>
                <c:pt idx="24">
                  <c:v>49992</c:v>
                </c:pt>
                <c:pt idx="25">
                  <c:v>49992</c:v>
                </c:pt>
                <c:pt idx="27">
                  <c:v>45368</c:v>
                </c:pt>
                <c:pt idx="28">
                  <c:v>45368</c:v>
                </c:pt>
              </c:numCache>
            </c:numRef>
          </c:xVal>
          <c:yVal>
            <c:numRef>
              <c:f>informalfits!$R$176:$R$204</c:f>
              <c:numCache>
                <c:formatCode>General</c:formatCode>
                <c:ptCount val="29"/>
                <c:pt idx="0">
                  <c:v>16.644444444444446</c:v>
                </c:pt>
                <c:pt idx="1">
                  <c:v>14.069700000000001</c:v>
                </c:pt>
                <c:pt idx="3">
                  <c:v>15.991228070175438</c:v>
                </c:pt>
                <c:pt idx="4">
                  <c:v>13.015599999999999</c:v>
                </c:pt>
                <c:pt idx="6">
                  <c:v>16.55952380952381</c:v>
                </c:pt>
                <c:pt idx="7">
                  <c:v>12.5448</c:v>
                </c:pt>
                <c:pt idx="9">
                  <c:v>13.487603305785123</c:v>
                </c:pt>
                <c:pt idx="10">
                  <c:v>12.650400000000001</c:v>
                </c:pt>
                <c:pt idx="12">
                  <c:v>16.048780487804876</c:v>
                </c:pt>
                <c:pt idx="13">
                  <c:v>13.2424</c:v>
                </c:pt>
                <c:pt idx="15">
                  <c:v>14.808219178082192</c:v>
                </c:pt>
                <c:pt idx="16">
                  <c:v>12.2508</c:v>
                </c:pt>
                <c:pt idx="18">
                  <c:v>18.939110070257613</c:v>
                </c:pt>
                <c:pt idx="19">
                  <c:v>13.0831</c:v>
                </c:pt>
                <c:pt idx="21">
                  <c:v>16.607279693486589</c:v>
                </c:pt>
                <c:pt idx="22">
                  <c:v>12.8376</c:v>
                </c:pt>
                <c:pt idx="24">
                  <c:v>14.943127962085308</c:v>
                </c:pt>
                <c:pt idx="25">
                  <c:v>12.9992</c:v>
                </c:pt>
                <c:pt idx="27">
                  <c:v>15.847619047619048</c:v>
                </c:pt>
                <c:pt idx="28">
                  <c:v>12.536799999999999</c:v>
                </c:pt>
              </c:numCache>
            </c:numRef>
          </c:yVal>
          <c:smooth val="0"/>
        </c:ser>
        <c:dLbls>
          <c:showLegendKey val="0"/>
          <c:showVal val="0"/>
          <c:showCatName val="0"/>
          <c:showSerName val="0"/>
          <c:showPercent val="0"/>
          <c:showBubbleSize val="0"/>
        </c:dLbls>
        <c:axId val="92298240"/>
        <c:axId val="92313088"/>
      </c:scatterChart>
      <c:valAx>
        <c:axId val="92298240"/>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92313088"/>
        <c:crosses val="autoZero"/>
        <c:crossBetween val="midCat"/>
        <c:dispUnits>
          <c:builtInUnit val="thousands"/>
          <c:dispUnitsLbl/>
        </c:dispUnits>
      </c:valAx>
      <c:valAx>
        <c:axId val="92313088"/>
        <c:scaling>
          <c:orientation val="minMax"/>
          <c:min val="10"/>
        </c:scaling>
        <c:delete val="0"/>
        <c:axPos val="l"/>
        <c:majorGridlines/>
        <c:title>
          <c:tx>
            <c:rich>
              <a:bodyPr rot="-5400000" vert="horz"/>
              <a:lstStyle/>
              <a:p>
                <a:pPr>
                  <a:defRPr/>
                </a:pPr>
                <a:r>
                  <a:rPr lang="en-US"/>
                  <a:t>Student/Teacher Ratio in each district</a:t>
                </a:r>
              </a:p>
            </c:rich>
          </c:tx>
          <c:overlay val="0"/>
        </c:title>
        <c:numFmt formatCode="#,##0" sourceLinked="0"/>
        <c:majorTickMark val="out"/>
        <c:minorTickMark val="none"/>
        <c:tickLblPos val="nextTo"/>
        <c:crossAx val="92298240"/>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Residuals as values above or below 0</a:t>
            </a:r>
          </a:p>
        </c:rich>
      </c:tx>
      <c:overlay val="0"/>
    </c:title>
    <c:autoTitleDeleted val="0"/>
    <c:plotArea>
      <c:layout/>
      <c:scatterChart>
        <c:scatterStyle val="lineMarker"/>
        <c:varyColors val="0"/>
        <c:ser>
          <c:idx val="0"/>
          <c:order val="0"/>
          <c:tx>
            <c:v>residuals</c:v>
          </c:tx>
          <c:spPr>
            <a:ln>
              <a:noFill/>
            </a:ln>
          </c:spPr>
          <c:marker>
            <c:symbol val="triangle"/>
            <c:size val="5"/>
            <c:spPr>
              <a:solidFill>
                <a:srgbClr val="FF0000"/>
              </a:solidFill>
              <a:ln>
                <a:solidFill>
                  <a:srgbClr val="FF0000"/>
                </a:solidFill>
              </a:ln>
            </c:spPr>
          </c:marker>
          <c:xVal>
            <c:numRef>
              <c:f>informalfits!$C$176:$C$185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informalfits!$F$176:$F$185</c:f>
              <c:numCache>
                <c:formatCode>_(* #,##0.00_);_(* \(#,##0.00\);_(* "-"??_);_(@_)</c:formatCode>
                <c:ptCount val="10"/>
                <c:pt idx="0" formatCode="General">
                  <c:v>0</c:v>
                </c:pt>
              </c:numCache>
            </c:numRef>
          </c:yVal>
          <c:smooth val="0"/>
        </c:ser>
        <c:dLbls>
          <c:showLegendKey val="0"/>
          <c:showVal val="0"/>
          <c:showCatName val="0"/>
          <c:showSerName val="0"/>
          <c:showPercent val="0"/>
          <c:showBubbleSize val="0"/>
        </c:dLbls>
        <c:axId val="92321280"/>
        <c:axId val="92336512"/>
      </c:scatterChart>
      <c:valAx>
        <c:axId val="92321280"/>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92336512"/>
        <c:crosses val="autoZero"/>
        <c:crossBetween val="midCat"/>
        <c:dispUnits>
          <c:builtInUnit val="thousands"/>
          <c:dispUnitsLbl/>
        </c:dispUnits>
      </c:valAx>
      <c:valAx>
        <c:axId val="92336512"/>
        <c:scaling>
          <c:orientation val="minMax"/>
        </c:scaling>
        <c:delete val="0"/>
        <c:axPos val="l"/>
        <c:majorGridlines/>
        <c:title>
          <c:tx>
            <c:rich>
              <a:bodyPr rot="-5400000" vert="horz"/>
              <a:lstStyle/>
              <a:p>
                <a:pPr>
                  <a:defRPr/>
                </a:pPr>
                <a:r>
                  <a:rPr lang="en-US"/>
                  <a:t>residuals of Student/Teacher Ratio in each district</a:t>
                </a:r>
              </a:p>
            </c:rich>
          </c:tx>
          <c:overlay val="0"/>
        </c:title>
        <c:numFmt formatCode="#,##0" sourceLinked="0"/>
        <c:majorTickMark val="out"/>
        <c:minorTickMark val="none"/>
        <c:tickLblPos val="nextTo"/>
        <c:crossAx val="92321280"/>
        <c:crosses val="autoZero"/>
        <c:crossBetween val="midCat"/>
      </c:valAx>
    </c:plotArea>
    <c:legend>
      <c:legendPos val="r"/>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 line that makes the residuals sum to zero</a:t>
            </a:r>
          </a:p>
        </c:rich>
      </c:tx>
      <c:overlay val="0"/>
    </c:title>
    <c:autoTitleDeleted val="0"/>
    <c:plotArea>
      <c:layout/>
      <c:scatterChart>
        <c:scatterStyle val="lineMarker"/>
        <c:varyColors val="0"/>
        <c:ser>
          <c:idx val="0"/>
          <c:order val="0"/>
          <c:tx>
            <c:strRef>
              <c:f>informalfits!$F$54</c:f>
              <c:strCache>
                <c:ptCount val="1"/>
                <c:pt idx="0">
                  <c:v>Student/ teacher ratio</c:v>
                </c:pt>
              </c:strCache>
            </c:strRef>
          </c:tx>
          <c:spPr>
            <a:ln w="28575">
              <a:noFill/>
            </a:ln>
          </c:spPr>
          <c:xVal>
            <c:numRef>
              <c:f>informalfits!$E$55:$E$64</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informalfits!$F$55:$F$64</c:f>
              <c:numCache>
                <c:formatCode>_(* #,##0.00_);_(* \(#,##0.00\);_(* "-"??_);_(@_)</c:formatCode>
                <c:ptCount val="1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numCache>
            </c:numRef>
          </c:yVal>
          <c:smooth val="0"/>
        </c:ser>
        <c:ser>
          <c:idx val="1"/>
          <c:order val="1"/>
          <c:tx>
            <c:v>a line that makes the residuals sum to zero</c:v>
          </c:tx>
          <c:spPr>
            <a:ln w="50800">
              <a:solidFill>
                <a:srgbClr val="002060"/>
              </a:solidFill>
            </a:ln>
          </c:spPr>
          <c:marker>
            <c:symbol val="none"/>
          </c:marker>
          <c:xVal>
            <c:numRef>
              <c:f>informalfits!$C$230:$C$239</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informalfits!$E$230:$E$239</c:f>
              <c:numCache>
                <c:formatCode>_(* #,##0.00_);_(* \(#,##0.00\);_(* "-"??_);_(@_)</c:formatCode>
                <c:ptCount val="10"/>
                <c:pt idx="0">
                  <c:v>15.987693606926445</c:v>
                </c:pt>
                <c:pt idx="1">
                  <c:v>15.987693606926445</c:v>
                </c:pt>
                <c:pt idx="2">
                  <c:v>15.987693606926445</c:v>
                </c:pt>
                <c:pt idx="3">
                  <c:v>15.987693606926445</c:v>
                </c:pt>
                <c:pt idx="4">
                  <c:v>15.987693606926445</c:v>
                </c:pt>
                <c:pt idx="5">
                  <c:v>15.987693606926445</c:v>
                </c:pt>
                <c:pt idx="6">
                  <c:v>15.987693606926445</c:v>
                </c:pt>
                <c:pt idx="7">
                  <c:v>15.987693606926445</c:v>
                </c:pt>
                <c:pt idx="8">
                  <c:v>15.987693606926445</c:v>
                </c:pt>
                <c:pt idx="9">
                  <c:v>15.987693606926445</c:v>
                </c:pt>
              </c:numCache>
            </c:numRef>
          </c:yVal>
          <c:smooth val="0"/>
        </c:ser>
        <c:dLbls>
          <c:showLegendKey val="0"/>
          <c:showVal val="0"/>
          <c:showCatName val="0"/>
          <c:showSerName val="0"/>
          <c:showPercent val="0"/>
          <c:showBubbleSize val="0"/>
        </c:dLbls>
        <c:axId val="92632576"/>
        <c:axId val="92635136"/>
      </c:scatterChart>
      <c:valAx>
        <c:axId val="92632576"/>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92635136"/>
        <c:crosses val="autoZero"/>
        <c:crossBetween val="midCat"/>
        <c:dispUnits>
          <c:builtInUnit val="thousands"/>
          <c:dispUnitsLbl/>
        </c:dispUnits>
      </c:valAx>
      <c:valAx>
        <c:axId val="92635136"/>
        <c:scaling>
          <c:orientation val="minMax"/>
          <c:min val="10"/>
        </c:scaling>
        <c:delete val="0"/>
        <c:axPos val="l"/>
        <c:majorGridlines/>
        <c:title>
          <c:tx>
            <c:rich>
              <a:bodyPr rot="-5400000" vert="horz"/>
              <a:lstStyle/>
              <a:p>
                <a:pPr>
                  <a:defRPr/>
                </a:pPr>
                <a:r>
                  <a:rPr lang="en-US"/>
                  <a:t>Student/Teacher Ratio in each district</a:t>
                </a:r>
              </a:p>
            </c:rich>
          </c:tx>
          <c:overlay val="0"/>
        </c:title>
        <c:numFmt formatCode="#,##0" sourceLinked="0"/>
        <c:majorTickMark val="out"/>
        <c:minorTickMark val="none"/>
        <c:tickLblPos val="nextTo"/>
        <c:crossAx val="92632576"/>
        <c:crosses val="autoZero"/>
        <c:crossBetween val="midCat"/>
      </c:valAx>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Residuals as values above or below 0</a:t>
            </a:r>
          </a:p>
        </c:rich>
      </c:tx>
      <c:overlay val="0"/>
    </c:title>
    <c:autoTitleDeleted val="0"/>
    <c:plotArea>
      <c:layout/>
      <c:scatterChart>
        <c:scatterStyle val="lineMarker"/>
        <c:varyColors val="0"/>
        <c:ser>
          <c:idx val="0"/>
          <c:order val="0"/>
          <c:tx>
            <c:v>residuals</c:v>
          </c:tx>
          <c:spPr>
            <a:ln>
              <a:noFill/>
            </a:ln>
          </c:spPr>
          <c:marker>
            <c:symbol val="triangle"/>
            <c:size val="5"/>
            <c:spPr>
              <a:solidFill>
                <a:srgbClr val="FF0000"/>
              </a:solidFill>
              <a:ln>
                <a:solidFill>
                  <a:srgbClr val="FF0000"/>
                </a:solidFill>
              </a:ln>
            </c:spPr>
          </c:marker>
          <c:xVal>
            <c:numRef>
              <c:f>informalfits!$C$230:$C$239</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informalfits!$F$230:$F$239</c:f>
              <c:numCache>
                <c:formatCode>General</c:formatCode>
                <c:ptCount val="10"/>
                <c:pt idx="0">
                  <c:v>0.65675083751800045</c:v>
                </c:pt>
                <c:pt idx="1">
                  <c:v>3.5344632489930916E-3</c:v>
                </c:pt>
                <c:pt idx="2">
                  <c:v>0.57183020259736494</c:v>
                </c:pt>
                <c:pt idx="3">
                  <c:v>-2.5000903011413218</c:v>
                </c:pt>
                <c:pt idx="4">
                  <c:v>6.108688087843106E-2</c:v>
                </c:pt>
                <c:pt idx="5">
                  <c:v>-1.1794744288442534</c:v>
                </c:pt>
                <c:pt idx="6">
                  <c:v>2.9514164633311673</c:v>
                </c:pt>
                <c:pt idx="7">
                  <c:v>0.61958608656014391</c:v>
                </c:pt>
                <c:pt idx="8">
                  <c:v>-1.0445656448411373</c:v>
                </c:pt>
                <c:pt idx="9">
                  <c:v>-0.1400745593073971</c:v>
                </c:pt>
              </c:numCache>
            </c:numRef>
          </c:yVal>
          <c:smooth val="0"/>
        </c:ser>
        <c:dLbls>
          <c:showLegendKey val="0"/>
          <c:showVal val="0"/>
          <c:showCatName val="0"/>
          <c:showSerName val="0"/>
          <c:showPercent val="0"/>
          <c:showBubbleSize val="0"/>
        </c:dLbls>
        <c:axId val="92676096"/>
        <c:axId val="92678784"/>
      </c:scatterChart>
      <c:valAx>
        <c:axId val="92676096"/>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92678784"/>
        <c:crosses val="autoZero"/>
        <c:crossBetween val="midCat"/>
        <c:dispUnits>
          <c:builtInUnit val="thousands"/>
          <c:dispUnitsLbl/>
        </c:dispUnits>
      </c:valAx>
      <c:valAx>
        <c:axId val="92678784"/>
        <c:scaling>
          <c:orientation val="minMax"/>
        </c:scaling>
        <c:delete val="0"/>
        <c:axPos val="l"/>
        <c:majorGridlines/>
        <c:title>
          <c:tx>
            <c:rich>
              <a:bodyPr rot="-5400000" vert="horz"/>
              <a:lstStyle/>
              <a:p>
                <a:pPr>
                  <a:defRPr/>
                </a:pPr>
                <a:r>
                  <a:rPr lang="en-US"/>
                  <a:t>residuals of Student/Teacher Ratio in each district</a:t>
                </a:r>
              </a:p>
            </c:rich>
          </c:tx>
          <c:overlay val="0"/>
        </c:title>
        <c:numFmt formatCode="#,##0" sourceLinked="0"/>
        <c:majorTickMark val="out"/>
        <c:minorTickMark val="none"/>
        <c:tickLblPos val="nextTo"/>
        <c:crossAx val="92676096"/>
        <c:crosses val="autoZero"/>
        <c:crossBetween val="midCat"/>
      </c:valAx>
    </c:plotArea>
    <c:legend>
      <c:legendPos val="r"/>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Informal Line</a:t>
            </a:r>
          </a:p>
        </c:rich>
      </c:tx>
      <c:overlay val="0"/>
    </c:title>
    <c:autoTitleDeleted val="0"/>
    <c:plotArea>
      <c:layout/>
      <c:scatterChart>
        <c:scatterStyle val="lineMarker"/>
        <c:varyColors val="0"/>
        <c:ser>
          <c:idx val="0"/>
          <c:order val="0"/>
          <c:tx>
            <c:strRef>
              <c:f>leastsquares!$D$4</c:f>
              <c:strCache>
                <c:ptCount val="1"/>
                <c:pt idx="0">
                  <c:v>Airfare ($)</c:v>
                </c:pt>
              </c:strCache>
            </c:strRef>
          </c:tx>
          <c:spPr>
            <a:ln w="28575">
              <a:noFill/>
            </a:ln>
          </c:spPr>
          <c:xVal>
            <c:numRef>
              <c:f>leastsquares!$C$5:$C$16</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leastsquares!$D$5:$D$16</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ser>
          <c:idx val="1"/>
          <c:order val="1"/>
          <c:tx>
            <c:v>Informal line</c:v>
          </c:tx>
          <c:spPr>
            <a:ln w="28575">
              <a:solidFill>
                <a:srgbClr val="92D050"/>
              </a:solidFill>
            </a:ln>
          </c:spPr>
          <c:marker>
            <c:spPr>
              <a:solidFill>
                <a:srgbClr val="92D050"/>
              </a:solidFill>
              <a:ln>
                <a:solidFill>
                  <a:srgbClr val="92D050"/>
                </a:solidFill>
              </a:ln>
            </c:spPr>
          </c:marker>
          <c:xVal>
            <c:numRef>
              <c:f>leastsquares!$C$21:$C$22</c:f>
              <c:numCache>
                <c:formatCode>General</c:formatCode>
                <c:ptCount val="2"/>
                <c:pt idx="0">
                  <c:v>500</c:v>
                </c:pt>
                <c:pt idx="1">
                  <c:v>1000</c:v>
                </c:pt>
              </c:numCache>
            </c:numRef>
          </c:xVal>
          <c:yVal>
            <c:numRef>
              <c:f>leastsquares!$D$21:$D$22</c:f>
              <c:numCache>
                <c:formatCode>General</c:formatCode>
                <c:ptCount val="2"/>
                <c:pt idx="0">
                  <c:v>100</c:v>
                </c:pt>
                <c:pt idx="1">
                  <c:v>200</c:v>
                </c:pt>
              </c:numCache>
            </c:numRef>
          </c:yVal>
          <c:smooth val="0"/>
        </c:ser>
        <c:dLbls>
          <c:showLegendKey val="0"/>
          <c:showVal val="0"/>
          <c:showCatName val="0"/>
          <c:showSerName val="0"/>
          <c:showPercent val="0"/>
          <c:showBubbleSize val="0"/>
        </c:dLbls>
        <c:axId val="93356032"/>
        <c:axId val="93358336"/>
      </c:scatterChart>
      <c:valAx>
        <c:axId val="93356032"/>
        <c:scaling>
          <c:orientation val="minMax"/>
        </c:scaling>
        <c:delete val="0"/>
        <c:axPos val="b"/>
        <c:title>
          <c:tx>
            <c:rich>
              <a:bodyPr/>
              <a:lstStyle/>
              <a:p>
                <a:pPr>
                  <a:defRPr/>
                </a:pPr>
                <a:r>
                  <a:rPr lang="en-US"/>
                  <a:t>Distance</a:t>
                </a:r>
              </a:p>
            </c:rich>
          </c:tx>
          <c:overlay val="0"/>
        </c:title>
        <c:numFmt formatCode="General" sourceLinked="1"/>
        <c:majorTickMark val="out"/>
        <c:minorTickMark val="none"/>
        <c:tickLblPos val="nextTo"/>
        <c:crossAx val="93358336"/>
        <c:crosses val="autoZero"/>
        <c:crossBetween val="midCat"/>
      </c:valAx>
      <c:valAx>
        <c:axId val="93358336"/>
        <c:scaling>
          <c:orientation val="minMax"/>
        </c:scaling>
        <c:delete val="0"/>
        <c:axPos val="l"/>
        <c:majorGridlines/>
        <c:title>
          <c:tx>
            <c:rich>
              <a:bodyPr rot="-5400000" vert="horz"/>
              <a:lstStyle/>
              <a:p>
                <a:pPr>
                  <a:defRPr/>
                </a:pPr>
                <a:r>
                  <a:rPr lang="en-US"/>
                  <a:t>Airfare</a:t>
                </a:r>
              </a:p>
            </c:rich>
          </c:tx>
          <c:overlay val="0"/>
        </c:title>
        <c:numFmt formatCode="&quot;$&quot;#,##0.00" sourceLinked="1"/>
        <c:majorTickMark val="out"/>
        <c:minorTickMark val="none"/>
        <c:tickLblPos val="nextTo"/>
        <c:crossAx val="933560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outliers_influential!$C$32</c:f>
              <c:strCache>
                <c:ptCount val="1"/>
                <c:pt idx="0">
                  <c:v>Airfare ($)</c:v>
                </c:pt>
              </c:strCache>
            </c:strRef>
          </c:tx>
          <c:spPr>
            <a:ln w="28575">
              <a:noFill/>
            </a:ln>
          </c:spPr>
          <c:trendline>
            <c:trendlineType val="linear"/>
            <c:dispRSqr val="1"/>
            <c:dispEq val="1"/>
            <c:trendlineLbl>
              <c:layout>
                <c:manualLayout>
                  <c:x val="0.43594706911636072"/>
                  <c:y val="-4.9886993292505176E-3"/>
                </c:manualLayout>
              </c:layout>
              <c:numFmt formatCode="General" sourceLinked="0"/>
            </c:trendlineLbl>
          </c:trendline>
          <c:xVal>
            <c:numRef>
              <c:f>outliers_influential!$B$33:$B$44</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outliers_influential!$C$33:$C$44</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3201152"/>
        <c:axId val="93202688"/>
      </c:scatterChart>
      <c:valAx>
        <c:axId val="93201152"/>
        <c:scaling>
          <c:orientation val="minMax"/>
        </c:scaling>
        <c:delete val="0"/>
        <c:axPos val="b"/>
        <c:numFmt formatCode="General" sourceLinked="1"/>
        <c:majorTickMark val="out"/>
        <c:minorTickMark val="none"/>
        <c:tickLblPos val="nextTo"/>
        <c:crossAx val="93202688"/>
        <c:crosses val="autoZero"/>
        <c:crossBetween val="midCat"/>
      </c:valAx>
      <c:valAx>
        <c:axId val="93202688"/>
        <c:scaling>
          <c:orientation val="minMax"/>
        </c:scaling>
        <c:delete val="0"/>
        <c:axPos val="l"/>
        <c:majorGridlines/>
        <c:numFmt formatCode="&quot;$&quot;#,##0.00" sourceLinked="1"/>
        <c:majorTickMark val="out"/>
        <c:minorTickMark val="none"/>
        <c:tickLblPos val="nextTo"/>
        <c:crossAx val="93201152"/>
        <c:crosses val="autoZero"/>
        <c:crossBetween val="midCat"/>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outliers_influential!$C$16</c:f>
              <c:strCache>
                <c:ptCount val="1"/>
                <c:pt idx="0">
                  <c:v>Airfare ($)</c:v>
                </c:pt>
              </c:strCache>
            </c:strRef>
          </c:tx>
          <c:spPr>
            <a:ln w="28575">
              <a:noFill/>
            </a:ln>
          </c:spPr>
          <c:trendline>
            <c:trendlineType val="linear"/>
            <c:dispRSqr val="1"/>
            <c:dispEq val="1"/>
            <c:trendlineLbl>
              <c:layout>
                <c:manualLayout>
                  <c:x val="0.4137248468941383"/>
                  <c:y val="-4.202573636628755E-2"/>
                </c:manualLayout>
              </c:layout>
              <c:numFmt formatCode="General" sourceLinked="0"/>
            </c:trendlineLbl>
          </c:trendline>
          <c:xVal>
            <c:numRef>
              <c:f>outliers_influential!$B$17:$B$28</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outliers_influential!$C$17:$C$28</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3224320"/>
        <c:axId val="93234304"/>
      </c:scatterChart>
      <c:valAx>
        <c:axId val="93224320"/>
        <c:scaling>
          <c:orientation val="minMax"/>
        </c:scaling>
        <c:delete val="0"/>
        <c:axPos val="b"/>
        <c:numFmt formatCode="General" sourceLinked="1"/>
        <c:majorTickMark val="out"/>
        <c:minorTickMark val="none"/>
        <c:tickLblPos val="nextTo"/>
        <c:crossAx val="93234304"/>
        <c:crosses val="autoZero"/>
        <c:crossBetween val="midCat"/>
      </c:valAx>
      <c:valAx>
        <c:axId val="93234304"/>
        <c:scaling>
          <c:orientation val="minMax"/>
        </c:scaling>
        <c:delete val="0"/>
        <c:axPos val="l"/>
        <c:majorGridlines/>
        <c:numFmt formatCode="&quot;$&quot;#,##0.00" sourceLinked="1"/>
        <c:majorTickMark val="out"/>
        <c:minorTickMark val="none"/>
        <c:tickLblPos val="nextTo"/>
        <c:crossAx val="93224320"/>
        <c:crosses val="autoZero"/>
        <c:crossBetween val="midCat"/>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outliers_influential!$C$52</c:f>
              <c:strCache>
                <c:ptCount val="1"/>
                <c:pt idx="0">
                  <c:v>Airfare ($)</c:v>
                </c:pt>
              </c:strCache>
            </c:strRef>
          </c:tx>
          <c:spPr>
            <a:ln w="28575">
              <a:noFill/>
            </a:ln>
          </c:spPr>
          <c:trendline>
            <c:trendlineType val="linear"/>
            <c:dispRSqr val="1"/>
            <c:dispEq val="1"/>
            <c:trendlineLbl>
              <c:layout>
                <c:manualLayout>
                  <c:x val="0.4970373054832582"/>
                  <c:y val="-0.10626983901380559"/>
                </c:manualLayout>
              </c:layout>
              <c:numFmt formatCode="General" sourceLinked="0"/>
            </c:trendlineLbl>
          </c:trendline>
          <c:xVal>
            <c:numRef>
              <c:f>outliers_influential!$B$53:$B$64</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outliers_influential!$C$53:$C$64</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3653248"/>
        <c:axId val="93671424"/>
      </c:scatterChart>
      <c:valAx>
        <c:axId val="93653248"/>
        <c:scaling>
          <c:orientation val="minMax"/>
        </c:scaling>
        <c:delete val="0"/>
        <c:axPos val="b"/>
        <c:numFmt formatCode="General" sourceLinked="1"/>
        <c:majorTickMark val="out"/>
        <c:minorTickMark val="none"/>
        <c:tickLblPos val="nextTo"/>
        <c:crossAx val="93671424"/>
        <c:crosses val="autoZero"/>
        <c:crossBetween val="midCat"/>
      </c:valAx>
      <c:valAx>
        <c:axId val="93671424"/>
        <c:scaling>
          <c:orientation val="minMax"/>
        </c:scaling>
        <c:delete val="0"/>
        <c:axPos val="l"/>
        <c:majorGridlines/>
        <c:numFmt formatCode="&quot;$&quot;#,##0.00" sourceLinked="1"/>
        <c:majorTickMark val="out"/>
        <c:minorTickMark val="none"/>
        <c:tickLblPos val="nextTo"/>
        <c:crossAx val="93653248"/>
        <c:crosses val="autoZero"/>
        <c:crossBetween val="midCat"/>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outliers_influential!$C$72</c:f>
              <c:strCache>
                <c:ptCount val="1"/>
                <c:pt idx="0">
                  <c:v>Airfare ($)</c:v>
                </c:pt>
              </c:strCache>
            </c:strRef>
          </c:tx>
          <c:spPr>
            <a:ln w="28575">
              <a:noFill/>
            </a:ln>
          </c:spPr>
          <c:trendline>
            <c:trendlineType val="linear"/>
            <c:dispRSqr val="1"/>
            <c:dispEq val="1"/>
            <c:trendlineLbl>
              <c:layout>
                <c:manualLayout>
                  <c:x val="0.44150262467191603"/>
                  <c:y val="-6.0544254884806095E-2"/>
                </c:manualLayout>
              </c:layout>
              <c:numFmt formatCode="General" sourceLinked="0"/>
            </c:trendlineLbl>
          </c:trendline>
          <c:xVal>
            <c:numRef>
              <c:f>outliers_influential!$B$73:$B$84</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outliers_influential!$C$73:$C$84</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3680768"/>
        <c:axId val="93682304"/>
      </c:scatterChart>
      <c:valAx>
        <c:axId val="93680768"/>
        <c:scaling>
          <c:orientation val="minMax"/>
        </c:scaling>
        <c:delete val="0"/>
        <c:axPos val="b"/>
        <c:numFmt formatCode="General" sourceLinked="1"/>
        <c:majorTickMark val="out"/>
        <c:minorTickMark val="none"/>
        <c:tickLblPos val="nextTo"/>
        <c:crossAx val="93682304"/>
        <c:crosses val="autoZero"/>
        <c:crossBetween val="midCat"/>
      </c:valAx>
      <c:valAx>
        <c:axId val="93682304"/>
        <c:scaling>
          <c:orientation val="minMax"/>
        </c:scaling>
        <c:delete val="0"/>
        <c:axPos val="l"/>
        <c:majorGridlines/>
        <c:numFmt formatCode="&quot;$&quot;#,##0.00" sourceLinked="1"/>
        <c:majorTickMark val="out"/>
        <c:minorTickMark val="none"/>
        <c:tickLblPos val="nextTo"/>
        <c:crossAx val="93680768"/>
        <c:crosses val="autoZero"/>
        <c:crossBetween val="midCat"/>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 school</a:t>
            </a:r>
            <a:r>
              <a:rPr lang="en-US" baseline="0"/>
              <a:t> districts in Pennsylvania</a:t>
            </a:r>
            <a:endParaRPr lang="en-US"/>
          </a:p>
        </c:rich>
      </c:tx>
      <c:overlay val="0"/>
    </c:title>
    <c:autoTitleDeleted val="0"/>
    <c:plotArea>
      <c:layout/>
      <c:scatterChart>
        <c:scatterStyle val="lineMarker"/>
        <c:varyColors val="0"/>
        <c:ser>
          <c:idx val="0"/>
          <c:order val="0"/>
          <c:tx>
            <c:strRef>
              <c:f>threetypes!$C$36</c:f>
              <c:strCache>
                <c:ptCount val="1"/>
                <c:pt idx="0">
                  <c:v>Student/ teacher ratio</c:v>
                </c:pt>
              </c:strCache>
            </c:strRef>
          </c:tx>
          <c:spPr>
            <a:ln w="28575">
              <a:noFill/>
            </a:ln>
          </c:spPr>
          <c:xVal>
            <c:numRef>
              <c:f>threetypes!$B$37:$B$66</c:f>
              <c:numCache>
                <c:formatCode>_("$"* #,##0_);_("$"* \(#,##0\);_("$"* "-"??_);_(@_)</c:formatCode>
                <c:ptCount val="30"/>
                <c:pt idx="0">
                  <c:v>60697</c:v>
                </c:pt>
                <c:pt idx="1">
                  <c:v>50156</c:v>
                </c:pt>
                <c:pt idx="2">
                  <c:v>45448</c:v>
                </c:pt>
                <c:pt idx="3">
                  <c:v>46504</c:v>
                </c:pt>
                <c:pt idx="4">
                  <c:v>52424</c:v>
                </c:pt>
                <c:pt idx="5">
                  <c:v>42508</c:v>
                </c:pt>
                <c:pt idx="6">
                  <c:v>50831</c:v>
                </c:pt>
                <c:pt idx="7">
                  <c:v>48376</c:v>
                </c:pt>
                <c:pt idx="8">
                  <c:v>49992</c:v>
                </c:pt>
                <c:pt idx="9">
                  <c:v>45368</c:v>
                </c:pt>
                <c:pt idx="10">
                  <c:v>47169</c:v>
                </c:pt>
                <c:pt idx="11">
                  <c:v>51145</c:v>
                </c:pt>
                <c:pt idx="12">
                  <c:v>53487</c:v>
                </c:pt>
                <c:pt idx="13">
                  <c:v>50216</c:v>
                </c:pt>
                <c:pt idx="14">
                  <c:v>39270</c:v>
                </c:pt>
                <c:pt idx="15">
                  <c:v>45687</c:v>
                </c:pt>
                <c:pt idx="16">
                  <c:v>46099</c:v>
                </c:pt>
                <c:pt idx="17">
                  <c:v>48109</c:v>
                </c:pt>
                <c:pt idx="18">
                  <c:v>42562</c:v>
                </c:pt>
                <c:pt idx="19">
                  <c:v>56941</c:v>
                </c:pt>
                <c:pt idx="20">
                  <c:v>43300</c:v>
                </c:pt>
                <c:pt idx="21">
                  <c:v>47331</c:v>
                </c:pt>
                <c:pt idx="22">
                  <c:v>45485</c:v>
                </c:pt>
                <c:pt idx="23">
                  <c:v>47220</c:v>
                </c:pt>
                <c:pt idx="24">
                  <c:v>45860</c:v>
                </c:pt>
                <c:pt idx="25">
                  <c:v>47051</c:v>
                </c:pt>
                <c:pt idx="26">
                  <c:v>67738</c:v>
                </c:pt>
                <c:pt idx="27">
                  <c:v>40175</c:v>
                </c:pt>
                <c:pt idx="28">
                  <c:v>47421</c:v>
                </c:pt>
                <c:pt idx="29">
                  <c:v>45961</c:v>
                </c:pt>
              </c:numCache>
            </c:numRef>
          </c:xVal>
          <c:yVal>
            <c:numRef>
              <c:f>threetypes!$C$37:$C$66</c:f>
              <c:numCache>
                <c:formatCode>_(* #,##0.00_);_(* \(#,##0.00\);_(* "-"??_);_(@_)</c:formatCode>
                <c:ptCount val="3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pt idx="10">
                  <c:v>14.41095890410959</c:v>
                </c:pt>
                <c:pt idx="11">
                  <c:v>16.505050505050505</c:v>
                </c:pt>
                <c:pt idx="12">
                  <c:v>15.180778032036613</c:v>
                </c:pt>
                <c:pt idx="13">
                  <c:v>13.717391304347826</c:v>
                </c:pt>
                <c:pt idx="14">
                  <c:v>11.772727272727273</c:v>
                </c:pt>
                <c:pt idx="15">
                  <c:v>13.456140350877194</c:v>
                </c:pt>
                <c:pt idx="16">
                  <c:v>17.547794117647058</c:v>
                </c:pt>
                <c:pt idx="17">
                  <c:v>16.304878048780488</c:v>
                </c:pt>
                <c:pt idx="18">
                  <c:v>16.110294117647058</c:v>
                </c:pt>
                <c:pt idx="19">
                  <c:v>17.514285714285716</c:v>
                </c:pt>
                <c:pt idx="20">
                  <c:v>17.384236453201972</c:v>
                </c:pt>
                <c:pt idx="21">
                  <c:v>16.691056910569106</c:v>
                </c:pt>
                <c:pt idx="22">
                  <c:v>15.896551724137931</c:v>
                </c:pt>
                <c:pt idx="23">
                  <c:v>18.835443037974684</c:v>
                </c:pt>
                <c:pt idx="24">
                  <c:v>15.278350515463918</c:v>
                </c:pt>
                <c:pt idx="25">
                  <c:v>15.47191011235955</c:v>
                </c:pt>
                <c:pt idx="26">
                  <c:v>16.923076923076923</c:v>
                </c:pt>
                <c:pt idx="27">
                  <c:v>11.984375</c:v>
                </c:pt>
                <c:pt idx="28">
                  <c:v>17.861111111111111</c:v>
                </c:pt>
                <c:pt idx="29">
                  <c:v>14.560606060606061</c:v>
                </c:pt>
              </c:numCache>
            </c:numRef>
          </c:yVal>
          <c:smooth val="0"/>
        </c:ser>
        <c:dLbls>
          <c:showLegendKey val="0"/>
          <c:showVal val="0"/>
          <c:showCatName val="0"/>
          <c:showSerName val="0"/>
          <c:showPercent val="0"/>
          <c:showBubbleSize val="0"/>
        </c:dLbls>
        <c:axId val="83245312"/>
        <c:axId val="83251968"/>
      </c:scatterChart>
      <c:valAx>
        <c:axId val="83245312"/>
        <c:scaling>
          <c:orientation val="minMax"/>
        </c:scaling>
        <c:delete val="0"/>
        <c:axPos val="b"/>
        <c:title>
          <c:tx>
            <c:rich>
              <a:bodyPr/>
              <a:lstStyle/>
              <a:p>
                <a:pPr>
                  <a:defRPr/>
                </a:pPr>
                <a:r>
                  <a:rPr lang="en-US"/>
                  <a:t>average teacher salary in the district</a:t>
                </a:r>
              </a:p>
            </c:rich>
          </c:tx>
          <c:overlay val="0"/>
        </c:title>
        <c:numFmt formatCode="_(&quot;$&quot;* #,##0_);_(&quot;$&quot;* \(#,##0\);_(&quot;$&quot;* &quot;-&quot;??_);_(@_)" sourceLinked="1"/>
        <c:majorTickMark val="out"/>
        <c:minorTickMark val="none"/>
        <c:tickLblPos val="nextTo"/>
        <c:crossAx val="83251968"/>
        <c:crosses val="autoZero"/>
        <c:crossBetween val="midCat"/>
        <c:dispUnits>
          <c:builtInUnit val="thousands"/>
          <c:dispUnitsLbl/>
        </c:dispUnits>
      </c:valAx>
      <c:valAx>
        <c:axId val="83251968"/>
        <c:scaling>
          <c:orientation val="minMax"/>
        </c:scaling>
        <c:delete val="0"/>
        <c:axPos val="l"/>
        <c:majorGridlines/>
        <c:title>
          <c:tx>
            <c:rich>
              <a:bodyPr rot="-5400000" vert="horz"/>
              <a:lstStyle/>
              <a:p>
                <a:pPr>
                  <a:defRPr/>
                </a:pPr>
                <a:r>
                  <a:rPr lang="en-US"/>
                  <a:t>Students per teacher in the district</a:t>
                </a:r>
              </a:p>
            </c:rich>
          </c:tx>
          <c:overlay val="0"/>
        </c:title>
        <c:numFmt formatCode="_(* #,##0_);_(* \(#,##0\);_(* &quot;-&quot;_);_(@_)" sourceLinked="0"/>
        <c:majorTickMark val="out"/>
        <c:minorTickMark val="none"/>
        <c:tickLblPos val="nextTo"/>
        <c:crossAx val="83245312"/>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outliers_influential!$C$92</c:f>
              <c:strCache>
                <c:ptCount val="1"/>
                <c:pt idx="0">
                  <c:v>Airfare ($)</c:v>
                </c:pt>
              </c:strCache>
            </c:strRef>
          </c:tx>
          <c:spPr>
            <a:ln w="28575">
              <a:noFill/>
            </a:ln>
          </c:spPr>
          <c:trendline>
            <c:trendlineType val="linear"/>
            <c:dispRSqr val="1"/>
            <c:dispEq val="1"/>
            <c:trendlineLbl>
              <c:layout>
                <c:manualLayout>
                  <c:x val="0.46372484689413834"/>
                  <c:y val="-4.202573636628755E-2"/>
                </c:manualLayout>
              </c:layout>
              <c:numFmt formatCode="General" sourceLinked="0"/>
            </c:trendlineLbl>
          </c:trendline>
          <c:xVal>
            <c:numRef>
              <c:f>outliers_influential!$B$93:$B$104</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outliers_influential!$C$93:$C$104</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3716480"/>
        <c:axId val="93718016"/>
      </c:scatterChart>
      <c:valAx>
        <c:axId val="93716480"/>
        <c:scaling>
          <c:orientation val="minMax"/>
        </c:scaling>
        <c:delete val="0"/>
        <c:axPos val="b"/>
        <c:numFmt formatCode="General" sourceLinked="1"/>
        <c:majorTickMark val="out"/>
        <c:minorTickMark val="none"/>
        <c:tickLblPos val="nextTo"/>
        <c:crossAx val="93718016"/>
        <c:crosses val="autoZero"/>
        <c:crossBetween val="midCat"/>
      </c:valAx>
      <c:valAx>
        <c:axId val="93718016"/>
        <c:scaling>
          <c:orientation val="minMax"/>
        </c:scaling>
        <c:delete val="0"/>
        <c:axPos val="l"/>
        <c:majorGridlines/>
        <c:numFmt formatCode="&quot;$&quot;#,##0.00" sourceLinked="1"/>
        <c:majorTickMark val="out"/>
        <c:minorTickMark val="none"/>
        <c:tickLblPos val="nextTo"/>
        <c:crossAx val="93716480"/>
        <c:crosses val="autoZero"/>
        <c:crossBetween val="midCat"/>
      </c:valAx>
    </c:plotArea>
    <c:legend>
      <c:legendPos val="r"/>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outliers_influential!$C$112</c:f>
              <c:strCache>
                <c:ptCount val="1"/>
                <c:pt idx="0">
                  <c:v>Airfare ($)</c:v>
                </c:pt>
              </c:strCache>
            </c:strRef>
          </c:tx>
          <c:spPr>
            <a:ln w="28575">
              <a:noFill/>
            </a:ln>
          </c:spPr>
          <c:trendline>
            <c:trendlineType val="linear"/>
            <c:dispRSqr val="1"/>
            <c:dispEq val="1"/>
            <c:trendlineLbl>
              <c:layout>
                <c:manualLayout>
                  <c:x val="0.4331692913385829"/>
                  <c:y val="-0.11609981044036161"/>
                </c:manualLayout>
              </c:layout>
              <c:numFmt formatCode="General" sourceLinked="0"/>
            </c:trendlineLbl>
          </c:trendline>
          <c:xVal>
            <c:numRef>
              <c:f>outliers_influential!$B$113:$B$124</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outliers_influential!$C$113:$C$124</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3760128"/>
        <c:axId val="93770112"/>
      </c:scatterChart>
      <c:valAx>
        <c:axId val="93760128"/>
        <c:scaling>
          <c:orientation val="minMax"/>
        </c:scaling>
        <c:delete val="0"/>
        <c:axPos val="b"/>
        <c:numFmt formatCode="General" sourceLinked="1"/>
        <c:majorTickMark val="out"/>
        <c:minorTickMark val="none"/>
        <c:tickLblPos val="nextTo"/>
        <c:crossAx val="93770112"/>
        <c:crosses val="autoZero"/>
        <c:crossBetween val="midCat"/>
      </c:valAx>
      <c:valAx>
        <c:axId val="93770112"/>
        <c:scaling>
          <c:orientation val="minMax"/>
        </c:scaling>
        <c:delete val="0"/>
        <c:axPos val="l"/>
        <c:majorGridlines/>
        <c:numFmt formatCode="&quot;$&quot;#,##0.00" sourceLinked="1"/>
        <c:majorTickMark val="out"/>
        <c:minorTickMark val="none"/>
        <c:tickLblPos val="nextTo"/>
        <c:crossAx val="93760128"/>
        <c:crosses val="autoZero"/>
        <c:crossBetween val="midCat"/>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Oxygen</a:t>
            </a:r>
            <a:r>
              <a:rPr lang="en-US" baseline="0"/>
              <a:t> at 1 atm</a:t>
            </a:r>
            <a:endParaRPr lang="en-US"/>
          </a:p>
        </c:rich>
      </c:tx>
      <c:overlay val="0"/>
    </c:title>
    <c:autoTitleDeleted val="0"/>
    <c:plotArea>
      <c:layout/>
      <c:scatterChart>
        <c:scatterStyle val="lineMarker"/>
        <c:varyColors val="0"/>
        <c:ser>
          <c:idx val="0"/>
          <c:order val="0"/>
          <c:tx>
            <c:strRef>
              <c:f>residualplots!$C$15</c:f>
              <c:strCache>
                <c:ptCount val="1"/>
                <c:pt idx="0">
                  <c:v>volume, L</c:v>
                </c:pt>
              </c:strCache>
            </c:strRef>
          </c:tx>
          <c:spPr>
            <a:ln w="28575">
              <a:noFill/>
            </a:ln>
          </c:spPr>
          <c:trendline>
            <c:trendlineType val="linear"/>
            <c:dispRSqr val="1"/>
            <c:dispEq val="1"/>
            <c:trendlineLbl>
              <c:layout>
                <c:manualLayout>
                  <c:x val="0.23198642542563541"/>
                  <c:y val="-0.20195120958717386"/>
                </c:manualLayout>
              </c:layout>
              <c:numFmt formatCode="General" sourceLinked="0"/>
            </c:trendlineLbl>
          </c:trendline>
          <c:xVal>
            <c:numRef>
              <c:f>residualplots!$B$16:$B$27</c:f>
              <c:numCache>
                <c:formatCode>General</c:formatCode>
                <c:ptCount val="12"/>
                <c:pt idx="0">
                  <c:v>20</c:v>
                </c:pt>
                <c:pt idx="1">
                  <c:v>20</c:v>
                </c:pt>
                <c:pt idx="2">
                  <c:v>20</c:v>
                </c:pt>
                <c:pt idx="3">
                  <c:v>40</c:v>
                </c:pt>
                <c:pt idx="4">
                  <c:v>40</c:v>
                </c:pt>
                <c:pt idx="5">
                  <c:v>40</c:v>
                </c:pt>
                <c:pt idx="6">
                  <c:v>60</c:v>
                </c:pt>
                <c:pt idx="7">
                  <c:v>60</c:v>
                </c:pt>
                <c:pt idx="8">
                  <c:v>60</c:v>
                </c:pt>
                <c:pt idx="9">
                  <c:v>80</c:v>
                </c:pt>
                <c:pt idx="10">
                  <c:v>80</c:v>
                </c:pt>
                <c:pt idx="11">
                  <c:v>80</c:v>
                </c:pt>
              </c:numCache>
            </c:numRef>
          </c:xVal>
          <c:yVal>
            <c:numRef>
              <c:f>residualplots!$C$16:$C$27</c:f>
              <c:numCache>
                <c:formatCode>0.000</c:formatCode>
                <c:ptCount val="12"/>
                <c:pt idx="0">
                  <c:v>2.3769999999999998</c:v>
                </c:pt>
                <c:pt idx="1">
                  <c:v>2.0819999999999999</c:v>
                </c:pt>
                <c:pt idx="2">
                  <c:v>2.2909999999999999</c:v>
                </c:pt>
                <c:pt idx="3">
                  <c:v>2.61</c:v>
                </c:pt>
                <c:pt idx="4">
                  <c:v>2.194</c:v>
                </c:pt>
                <c:pt idx="5">
                  <c:v>2.718</c:v>
                </c:pt>
                <c:pt idx="6">
                  <c:v>2.9359999999999999</c:v>
                </c:pt>
                <c:pt idx="7">
                  <c:v>2.5409999999999999</c:v>
                </c:pt>
                <c:pt idx="8">
                  <c:v>2.97</c:v>
                </c:pt>
                <c:pt idx="9">
                  <c:v>2.9589999999999996</c:v>
                </c:pt>
                <c:pt idx="10">
                  <c:v>3.2079999999999997</c:v>
                </c:pt>
                <c:pt idx="11">
                  <c:v>2.4319999999999999</c:v>
                </c:pt>
              </c:numCache>
            </c:numRef>
          </c:yVal>
          <c:smooth val="0"/>
        </c:ser>
        <c:dLbls>
          <c:showLegendKey val="0"/>
          <c:showVal val="0"/>
          <c:showCatName val="0"/>
          <c:showSerName val="0"/>
          <c:showPercent val="0"/>
          <c:showBubbleSize val="0"/>
        </c:dLbls>
        <c:axId val="93833088"/>
        <c:axId val="85983232"/>
      </c:scatterChart>
      <c:valAx>
        <c:axId val="93833088"/>
        <c:scaling>
          <c:orientation val="minMax"/>
        </c:scaling>
        <c:delete val="0"/>
        <c:axPos val="b"/>
        <c:title>
          <c:tx>
            <c:rich>
              <a:bodyPr/>
              <a:lstStyle/>
              <a:p>
                <a:pPr>
                  <a:defRPr/>
                </a:pPr>
                <a:r>
                  <a:rPr lang="en-US"/>
                  <a:t>Temperature (deg C)</a:t>
                </a:r>
              </a:p>
            </c:rich>
          </c:tx>
          <c:overlay val="0"/>
        </c:title>
        <c:numFmt formatCode="General" sourceLinked="1"/>
        <c:majorTickMark val="out"/>
        <c:minorTickMark val="none"/>
        <c:tickLblPos val="nextTo"/>
        <c:crossAx val="85983232"/>
        <c:crosses val="autoZero"/>
        <c:crossBetween val="midCat"/>
      </c:valAx>
      <c:valAx>
        <c:axId val="85983232"/>
        <c:scaling>
          <c:orientation val="minMax"/>
        </c:scaling>
        <c:delete val="0"/>
        <c:axPos val="l"/>
        <c:majorGridlines/>
        <c:title>
          <c:tx>
            <c:rich>
              <a:bodyPr rot="-5400000" vert="horz"/>
              <a:lstStyle/>
              <a:p>
                <a:pPr>
                  <a:defRPr/>
                </a:pPr>
                <a:r>
                  <a:rPr lang="en-US"/>
                  <a:t>Volume (L)</a:t>
                </a:r>
              </a:p>
            </c:rich>
          </c:tx>
          <c:overlay val="0"/>
        </c:title>
        <c:numFmt formatCode="0.0" sourceLinked="0"/>
        <c:majorTickMark val="out"/>
        <c:minorTickMark val="none"/>
        <c:tickLblPos val="nextTo"/>
        <c:crossAx val="93833088"/>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 school</a:t>
            </a:r>
            <a:r>
              <a:rPr lang="en-US" baseline="0"/>
              <a:t> districts in Pennsylvania</a:t>
            </a:r>
            <a:endParaRPr lang="en-US"/>
          </a:p>
        </c:rich>
      </c:tx>
      <c:overlay val="0"/>
    </c:title>
    <c:autoTitleDeleted val="0"/>
    <c:plotArea>
      <c:layout/>
      <c:scatterChart>
        <c:scatterStyle val="lineMarker"/>
        <c:varyColors val="0"/>
        <c:ser>
          <c:idx val="0"/>
          <c:order val="0"/>
          <c:tx>
            <c:strRef>
              <c:f>residualplots!$C$32</c:f>
              <c:strCache>
                <c:ptCount val="1"/>
                <c:pt idx="0">
                  <c:v>Students/Teacher</c:v>
                </c:pt>
              </c:strCache>
            </c:strRef>
          </c:tx>
          <c:spPr>
            <a:ln w="28575">
              <a:noFill/>
            </a:ln>
          </c:spPr>
          <c:trendline>
            <c:trendlineType val="linear"/>
            <c:dispRSqr val="1"/>
            <c:dispEq val="1"/>
            <c:trendlineLbl>
              <c:layout>
                <c:manualLayout>
                  <c:x val="-0.32377517294614833"/>
                  <c:y val="-5.2877056689536912E-3"/>
                </c:manualLayout>
              </c:layout>
              <c:numFmt formatCode="General" sourceLinked="0"/>
            </c:trendlineLbl>
          </c:trendline>
          <c:xVal>
            <c:numRef>
              <c:f>residualplots!$B$33:$B$62</c:f>
              <c:numCache>
                <c:formatCode>_("$"* #,##0_);_("$"* \(#,##0\);_("$"* "-"??_);_(@_)</c:formatCode>
                <c:ptCount val="30"/>
                <c:pt idx="0">
                  <c:v>60697</c:v>
                </c:pt>
                <c:pt idx="1">
                  <c:v>50156</c:v>
                </c:pt>
                <c:pt idx="2">
                  <c:v>45448</c:v>
                </c:pt>
                <c:pt idx="3">
                  <c:v>46504</c:v>
                </c:pt>
                <c:pt idx="4">
                  <c:v>52424</c:v>
                </c:pt>
                <c:pt idx="5">
                  <c:v>42508</c:v>
                </c:pt>
                <c:pt idx="6">
                  <c:v>50831</c:v>
                </c:pt>
                <c:pt idx="7">
                  <c:v>48376</c:v>
                </c:pt>
                <c:pt idx="8">
                  <c:v>49992</c:v>
                </c:pt>
                <c:pt idx="9">
                  <c:v>45368</c:v>
                </c:pt>
                <c:pt idx="10">
                  <c:v>47169</c:v>
                </c:pt>
                <c:pt idx="11">
                  <c:v>51145</c:v>
                </c:pt>
                <c:pt idx="12">
                  <c:v>53487</c:v>
                </c:pt>
                <c:pt idx="13">
                  <c:v>50216</c:v>
                </c:pt>
                <c:pt idx="14">
                  <c:v>39270</c:v>
                </c:pt>
                <c:pt idx="15">
                  <c:v>45687</c:v>
                </c:pt>
                <c:pt idx="16">
                  <c:v>46099</c:v>
                </c:pt>
                <c:pt idx="17">
                  <c:v>48109</c:v>
                </c:pt>
                <c:pt idx="18">
                  <c:v>42562</c:v>
                </c:pt>
                <c:pt idx="19">
                  <c:v>56941</c:v>
                </c:pt>
                <c:pt idx="20">
                  <c:v>43300</c:v>
                </c:pt>
                <c:pt idx="21">
                  <c:v>47331</c:v>
                </c:pt>
                <c:pt idx="22">
                  <c:v>45485</c:v>
                </c:pt>
                <c:pt idx="23">
                  <c:v>47220</c:v>
                </c:pt>
                <c:pt idx="24">
                  <c:v>45860</c:v>
                </c:pt>
                <c:pt idx="25">
                  <c:v>47051</c:v>
                </c:pt>
                <c:pt idx="26">
                  <c:v>67738</c:v>
                </c:pt>
                <c:pt idx="27">
                  <c:v>40175</c:v>
                </c:pt>
                <c:pt idx="28">
                  <c:v>47421</c:v>
                </c:pt>
                <c:pt idx="29">
                  <c:v>45961</c:v>
                </c:pt>
              </c:numCache>
            </c:numRef>
          </c:xVal>
          <c:yVal>
            <c:numRef>
              <c:f>residualplots!$C$33:$C$62</c:f>
              <c:numCache>
                <c:formatCode>_(* #,##0.00_);_(* \(#,##0.00\);_(* "-"??_);_(@_)</c:formatCode>
                <c:ptCount val="3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pt idx="10">
                  <c:v>14.41095890410959</c:v>
                </c:pt>
                <c:pt idx="11">
                  <c:v>16.505050505050505</c:v>
                </c:pt>
                <c:pt idx="12">
                  <c:v>15.180778032036613</c:v>
                </c:pt>
                <c:pt idx="13">
                  <c:v>13.717391304347826</c:v>
                </c:pt>
                <c:pt idx="14">
                  <c:v>11.772727272727273</c:v>
                </c:pt>
                <c:pt idx="15">
                  <c:v>13.456140350877194</c:v>
                </c:pt>
                <c:pt idx="16">
                  <c:v>17.547794117647058</c:v>
                </c:pt>
                <c:pt idx="17">
                  <c:v>16.304878048780488</c:v>
                </c:pt>
                <c:pt idx="18">
                  <c:v>16.110294117647058</c:v>
                </c:pt>
                <c:pt idx="19">
                  <c:v>17.514285714285716</c:v>
                </c:pt>
                <c:pt idx="20">
                  <c:v>17.384236453201972</c:v>
                </c:pt>
                <c:pt idx="21">
                  <c:v>16.691056910569106</c:v>
                </c:pt>
                <c:pt idx="22">
                  <c:v>15.896551724137931</c:v>
                </c:pt>
                <c:pt idx="23">
                  <c:v>18.835443037974684</c:v>
                </c:pt>
                <c:pt idx="24">
                  <c:v>15.278350515463918</c:v>
                </c:pt>
                <c:pt idx="25">
                  <c:v>15.47191011235955</c:v>
                </c:pt>
                <c:pt idx="26">
                  <c:v>16.923076923076923</c:v>
                </c:pt>
                <c:pt idx="27">
                  <c:v>11.984375</c:v>
                </c:pt>
                <c:pt idx="28">
                  <c:v>17.861111111111111</c:v>
                </c:pt>
                <c:pt idx="29">
                  <c:v>14.560606060606061</c:v>
                </c:pt>
              </c:numCache>
            </c:numRef>
          </c:yVal>
          <c:smooth val="0"/>
        </c:ser>
        <c:dLbls>
          <c:showLegendKey val="0"/>
          <c:showVal val="0"/>
          <c:showCatName val="0"/>
          <c:showSerName val="0"/>
          <c:showPercent val="0"/>
          <c:showBubbleSize val="0"/>
        </c:dLbls>
        <c:axId val="86017152"/>
        <c:axId val="86019456"/>
      </c:scatterChart>
      <c:valAx>
        <c:axId val="86017152"/>
        <c:scaling>
          <c:orientation val="minMax"/>
        </c:scaling>
        <c:delete val="0"/>
        <c:axPos val="b"/>
        <c:title>
          <c:tx>
            <c:rich>
              <a:bodyPr/>
              <a:lstStyle/>
              <a:p>
                <a:pPr>
                  <a:defRPr/>
                </a:pPr>
                <a:r>
                  <a:rPr lang="en-US"/>
                  <a:t>average teacher salary in the district</a:t>
                </a:r>
              </a:p>
            </c:rich>
          </c:tx>
          <c:overlay val="0"/>
        </c:title>
        <c:numFmt formatCode="_(&quot;$&quot;* #,##0_);_(&quot;$&quot;* \(#,##0\);_(&quot;$&quot;* &quot;-&quot;??_);_(@_)" sourceLinked="1"/>
        <c:majorTickMark val="out"/>
        <c:minorTickMark val="none"/>
        <c:tickLblPos val="nextTo"/>
        <c:crossAx val="86019456"/>
        <c:crosses val="autoZero"/>
        <c:crossBetween val="midCat"/>
        <c:dispUnits>
          <c:builtInUnit val="thousands"/>
          <c:dispUnitsLbl/>
        </c:dispUnits>
      </c:valAx>
      <c:valAx>
        <c:axId val="86019456"/>
        <c:scaling>
          <c:orientation val="minMax"/>
        </c:scaling>
        <c:delete val="0"/>
        <c:axPos val="l"/>
        <c:majorGridlines/>
        <c:title>
          <c:tx>
            <c:rich>
              <a:bodyPr rot="-5400000" vert="horz"/>
              <a:lstStyle/>
              <a:p>
                <a:pPr>
                  <a:defRPr/>
                </a:pPr>
                <a:r>
                  <a:rPr lang="en-US"/>
                  <a:t>Students per teacher in the district</a:t>
                </a:r>
              </a:p>
            </c:rich>
          </c:tx>
          <c:overlay val="0"/>
        </c:title>
        <c:numFmt formatCode="_(* #,##0_);_(* \(#,##0\);_(* &quot;-&quot;_);_(@_)" sourceLinked="0"/>
        <c:majorTickMark val="out"/>
        <c:minorTickMark val="none"/>
        <c:tickLblPos val="nextTo"/>
        <c:crossAx val="86017152"/>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t>
            </a:r>
            <a:r>
              <a:rPr lang="en-US" baseline="0"/>
              <a:t> people increase in US population every 10 years</a:t>
            </a:r>
            <a:endParaRPr lang="en-US"/>
          </a:p>
        </c:rich>
      </c:tx>
      <c:overlay val="0"/>
    </c:title>
    <c:autoTitleDeleted val="0"/>
    <c:plotArea>
      <c:layout/>
      <c:scatterChart>
        <c:scatterStyle val="lineMarker"/>
        <c:varyColors val="0"/>
        <c:ser>
          <c:idx val="0"/>
          <c:order val="0"/>
          <c:tx>
            <c:strRef>
              <c:f>residualplots!$B$68</c:f>
              <c:strCache>
                <c:ptCount val="1"/>
                <c:pt idx="0">
                  <c:v># increase to t+10</c:v>
                </c:pt>
              </c:strCache>
            </c:strRef>
          </c:tx>
          <c:spPr>
            <a:ln w="28575">
              <a:noFill/>
            </a:ln>
          </c:spPr>
          <c:trendline>
            <c:trendlineType val="linear"/>
            <c:dispRSqr val="1"/>
            <c:dispEq val="1"/>
            <c:trendlineLbl>
              <c:layout>
                <c:manualLayout>
                  <c:x val="-0.48693742410278362"/>
                  <c:y val="-0.12977726742490522"/>
                </c:manualLayout>
              </c:layout>
              <c:numFmt formatCode="General" sourceLinked="0"/>
            </c:trendlineLbl>
          </c:trendline>
          <c:xVal>
            <c:numRef>
              <c:f>residualplots!$A$69:$A$89</c:f>
              <c:numCache>
                <c:formatCode>General</c:formatCode>
                <c:ptCount val="21"/>
                <c:pt idx="0">
                  <c:v>1790</c:v>
                </c:pt>
                <c:pt idx="1">
                  <c:v>1800</c:v>
                </c:pt>
                <c:pt idx="2">
                  <c:v>1810</c:v>
                </c:pt>
                <c:pt idx="3">
                  <c:v>1820</c:v>
                </c:pt>
                <c:pt idx="4">
                  <c:v>1830</c:v>
                </c:pt>
                <c:pt idx="5">
                  <c:v>1840</c:v>
                </c:pt>
                <c:pt idx="6">
                  <c:v>1850</c:v>
                </c:pt>
                <c:pt idx="7">
                  <c:v>1860</c:v>
                </c:pt>
                <c:pt idx="8">
                  <c:v>1870</c:v>
                </c:pt>
                <c:pt idx="9">
                  <c:v>1880</c:v>
                </c:pt>
                <c:pt idx="10">
                  <c:v>1890</c:v>
                </c:pt>
                <c:pt idx="11">
                  <c:v>1900</c:v>
                </c:pt>
                <c:pt idx="12">
                  <c:v>1910</c:v>
                </c:pt>
                <c:pt idx="13">
                  <c:v>1920</c:v>
                </c:pt>
                <c:pt idx="14">
                  <c:v>1930</c:v>
                </c:pt>
                <c:pt idx="15">
                  <c:v>1940</c:v>
                </c:pt>
                <c:pt idx="16">
                  <c:v>1950</c:v>
                </c:pt>
                <c:pt idx="17">
                  <c:v>1960</c:v>
                </c:pt>
                <c:pt idx="18">
                  <c:v>1970</c:v>
                </c:pt>
                <c:pt idx="19">
                  <c:v>1980</c:v>
                </c:pt>
                <c:pt idx="20">
                  <c:v>1990</c:v>
                </c:pt>
              </c:numCache>
            </c:numRef>
          </c:xVal>
          <c:yVal>
            <c:numRef>
              <c:f>residualplots!$B$69:$B$89</c:f>
              <c:numCache>
                <c:formatCode>_(* #,##0_);_(* \(#,##0\);_(* "-"??_);_(@_)</c:formatCode>
                <c:ptCount val="21"/>
                <c:pt idx="0">
                  <c:v>1307417</c:v>
                </c:pt>
                <c:pt idx="1">
                  <c:v>2003250</c:v>
                </c:pt>
                <c:pt idx="2">
                  <c:v>2398572</c:v>
                </c:pt>
                <c:pt idx="3">
                  <c:v>3227567</c:v>
                </c:pt>
                <c:pt idx="4">
                  <c:v>4203433</c:v>
                </c:pt>
                <c:pt idx="5">
                  <c:v>6122423</c:v>
                </c:pt>
                <c:pt idx="6">
                  <c:v>8251445</c:v>
                </c:pt>
                <c:pt idx="7">
                  <c:v>7115050</c:v>
                </c:pt>
                <c:pt idx="8">
                  <c:v>10812969</c:v>
                </c:pt>
                <c:pt idx="9">
                  <c:v>13608426</c:v>
                </c:pt>
                <c:pt idx="10">
                  <c:v>13232402</c:v>
                </c:pt>
                <c:pt idx="11">
                  <c:v>16016328</c:v>
                </c:pt>
                <c:pt idx="12">
                  <c:v>13793041</c:v>
                </c:pt>
                <c:pt idx="13">
                  <c:v>17181087</c:v>
                </c:pt>
                <c:pt idx="14">
                  <c:v>8961945</c:v>
                </c:pt>
                <c:pt idx="15">
                  <c:v>19161229</c:v>
                </c:pt>
                <c:pt idx="16">
                  <c:v>27997377</c:v>
                </c:pt>
                <c:pt idx="17">
                  <c:v>23888751</c:v>
                </c:pt>
                <c:pt idx="18">
                  <c:v>23333879</c:v>
                </c:pt>
                <c:pt idx="19">
                  <c:v>22164068</c:v>
                </c:pt>
                <c:pt idx="20">
                  <c:v>32712033</c:v>
                </c:pt>
              </c:numCache>
            </c:numRef>
          </c:yVal>
          <c:smooth val="0"/>
        </c:ser>
        <c:dLbls>
          <c:showLegendKey val="0"/>
          <c:showVal val="0"/>
          <c:showCatName val="0"/>
          <c:showSerName val="0"/>
          <c:showPercent val="0"/>
          <c:showBubbleSize val="0"/>
        </c:dLbls>
        <c:axId val="94115328"/>
        <c:axId val="94116864"/>
      </c:scatterChart>
      <c:valAx>
        <c:axId val="94115328"/>
        <c:scaling>
          <c:orientation val="minMax"/>
        </c:scaling>
        <c:delete val="0"/>
        <c:axPos val="b"/>
        <c:numFmt formatCode="General" sourceLinked="1"/>
        <c:majorTickMark val="out"/>
        <c:minorTickMark val="none"/>
        <c:tickLblPos val="nextTo"/>
        <c:crossAx val="94116864"/>
        <c:crosses val="autoZero"/>
        <c:crossBetween val="midCat"/>
      </c:valAx>
      <c:valAx>
        <c:axId val="94116864"/>
        <c:scaling>
          <c:orientation val="minMax"/>
        </c:scaling>
        <c:delete val="0"/>
        <c:axPos val="l"/>
        <c:majorGridlines/>
        <c:numFmt formatCode="_(* #,##0_);_(* \(#,##0\);_(* &quot;-&quot;??_);_(@_)" sourceLinked="1"/>
        <c:majorTickMark val="out"/>
        <c:minorTickMark val="none"/>
        <c:tickLblPos val="nextTo"/>
        <c:crossAx val="94115328"/>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residualplots!$E$15</c:f>
              <c:strCache>
                <c:ptCount val="1"/>
                <c:pt idx="0">
                  <c:v>residual</c:v>
                </c:pt>
              </c:strCache>
            </c:strRef>
          </c:tx>
          <c:spPr>
            <a:ln w="28575">
              <a:noFill/>
            </a:ln>
          </c:spPr>
          <c:xVal>
            <c:numRef>
              <c:f>residualplots!$B$16:$B$27</c:f>
              <c:numCache>
                <c:formatCode>General</c:formatCode>
                <c:ptCount val="12"/>
                <c:pt idx="0">
                  <c:v>20</c:v>
                </c:pt>
                <c:pt idx="1">
                  <c:v>20</c:v>
                </c:pt>
                <c:pt idx="2">
                  <c:v>20</c:v>
                </c:pt>
                <c:pt idx="3">
                  <c:v>40</c:v>
                </c:pt>
                <c:pt idx="4">
                  <c:v>40</c:v>
                </c:pt>
                <c:pt idx="5">
                  <c:v>40</c:v>
                </c:pt>
                <c:pt idx="6">
                  <c:v>60</c:v>
                </c:pt>
                <c:pt idx="7">
                  <c:v>60</c:v>
                </c:pt>
                <c:pt idx="8">
                  <c:v>60</c:v>
                </c:pt>
                <c:pt idx="9">
                  <c:v>80</c:v>
                </c:pt>
                <c:pt idx="10">
                  <c:v>80</c:v>
                </c:pt>
                <c:pt idx="11">
                  <c:v>80</c:v>
                </c:pt>
              </c:numCache>
            </c:numRef>
          </c:xVal>
          <c:yVal>
            <c:numRef>
              <c:f>residualplots!$E$16:$E$27</c:f>
              <c:numCache>
                <c:formatCode>0.000</c:formatCode>
                <c:ptCount val="12"/>
                <c:pt idx="0">
                  <c:v>9.0766666666666662E-2</c:v>
                </c:pt>
                <c:pt idx="1">
                  <c:v>-0.20423333333333327</c:v>
                </c:pt>
                <c:pt idx="2">
                  <c:v>4.7666666666668078E-3</c:v>
                </c:pt>
                <c:pt idx="3">
                  <c:v>0.1080333333333332</c:v>
                </c:pt>
                <c:pt idx="4">
                  <c:v>-0.30796666666666672</c:v>
                </c:pt>
                <c:pt idx="5">
                  <c:v>0.2160333333333333</c:v>
                </c:pt>
                <c:pt idx="6">
                  <c:v>0.21830000000000016</c:v>
                </c:pt>
                <c:pt idx="7">
                  <c:v>-0.17669999999999986</c:v>
                </c:pt>
                <c:pt idx="8">
                  <c:v>0.25230000000000041</c:v>
                </c:pt>
                <c:pt idx="9">
                  <c:v>2.5566666666666293E-2</c:v>
                </c:pt>
                <c:pt idx="10">
                  <c:v>0.2745666666666664</c:v>
                </c:pt>
                <c:pt idx="11">
                  <c:v>-0.5014333333333334</c:v>
                </c:pt>
              </c:numCache>
            </c:numRef>
          </c:yVal>
          <c:smooth val="0"/>
        </c:ser>
        <c:dLbls>
          <c:showLegendKey val="0"/>
          <c:showVal val="0"/>
          <c:showCatName val="0"/>
          <c:showSerName val="0"/>
          <c:showPercent val="0"/>
          <c:showBubbleSize val="0"/>
        </c:dLbls>
        <c:axId val="94144768"/>
        <c:axId val="94159232"/>
      </c:scatterChart>
      <c:valAx>
        <c:axId val="94144768"/>
        <c:scaling>
          <c:orientation val="minMax"/>
        </c:scaling>
        <c:delete val="0"/>
        <c:axPos val="b"/>
        <c:title>
          <c:tx>
            <c:rich>
              <a:bodyPr/>
              <a:lstStyle/>
              <a:p>
                <a:pPr>
                  <a:defRPr/>
                </a:pPr>
                <a:r>
                  <a:rPr lang="en-US"/>
                  <a:t>temperature (deg C)</a:t>
                </a:r>
              </a:p>
            </c:rich>
          </c:tx>
          <c:overlay val="0"/>
        </c:title>
        <c:numFmt formatCode="General" sourceLinked="1"/>
        <c:majorTickMark val="out"/>
        <c:minorTickMark val="none"/>
        <c:tickLblPos val="nextTo"/>
        <c:crossAx val="94159232"/>
        <c:crosses val="autoZero"/>
        <c:crossBetween val="midCat"/>
      </c:valAx>
      <c:valAx>
        <c:axId val="94159232"/>
        <c:scaling>
          <c:orientation val="minMax"/>
        </c:scaling>
        <c:delete val="0"/>
        <c:axPos val="l"/>
        <c:majorGridlines/>
        <c:numFmt formatCode="0.000" sourceLinked="1"/>
        <c:majorTickMark val="out"/>
        <c:minorTickMark val="none"/>
        <c:tickLblPos val="nextTo"/>
        <c:crossAx val="94144768"/>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residualplots!$E$15</c:f>
              <c:strCache>
                <c:ptCount val="1"/>
                <c:pt idx="0">
                  <c:v>residual</c:v>
                </c:pt>
              </c:strCache>
            </c:strRef>
          </c:tx>
          <c:spPr>
            <a:ln w="28575">
              <a:noFill/>
            </a:ln>
          </c:spPr>
          <c:xVal>
            <c:numRef>
              <c:f>residualplots!$D$16:$D$27</c:f>
              <c:numCache>
                <c:formatCode>General</c:formatCode>
                <c:ptCount val="12"/>
                <c:pt idx="0">
                  <c:v>2.2862333333333331</c:v>
                </c:pt>
                <c:pt idx="1">
                  <c:v>2.2862333333333331</c:v>
                </c:pt>
                <c:pt idx="2">
                  <c:v>2.2862333333333331</c:v>
                </c:pt>
                <c:pt idx="3">
                  <c:v>2.5019666666666667</c:v>
                </c:pt>
                <c:pt idx="4">
                  <c:v>2.5019666666666667</c:v>
                </c:pt>
                <c:pt idx="5">
                  <c:v>2.5019666666666667</c:v>
                </c:pt>
                <c:pt idx="6">
                  <c:v>2.7176999999999998</c:v>
                </c:pt>
                <c:pt idx="7">
                  <c:v>2.7176999999999998</c:v>
                </c:pt>
                <c:pt idx="8">
                  <c:v>2.7176999999999998</c:v>
                </c:pt>
                <c:pt idx="9">
                  <c:v>2.9334333333333333</c:v>
                </c:pt>
                <c:pt idx="10">
                  <c:v>2.9334333333333333</c:v>
                </c:pt>
                <c:pt idx="11">
                  <c:v>2.9334333333333333</c:v>
                </c:pt>
              </c:numCache>
            </c:numRef>
          </c:xVal>
          <c:yVal>
            <c:numRef>
              <c:f>residualplots!$E$16:$E$27</c:f>
              <c:numCache>
                <c:formatCode>0.000</c:formatCode>
                <c:ptCount val="12"/>
                <c:pt idx="0">
                  <c:v>9.0766666666666662E-2</c:v>
                </c:pt>
                <c:pt idx="1">
                  <c:v>-0.20423333333333327</c:v>
                </c:pt>
                <c:pt idx="2">
                  <c:v>4.7666666666668078E-3</c:v>
                </c:pt>
                <c:pt idx="3">
                  <c:v>0.1080333333333332</c:v>
                </c:pt>
                <c:pt idx="4">
                  <c:v>-0.30796666666666672</c:v>
                </c:pt>
                <c:pt idx="5">
                  <c:v>0.2160333333333333</c:v>
                </c:pt>
                <c:pt idx="6">
                  <c:v>0.21830000000000016</c:v>
                </c:pt>
                <c:pt idx="7">
                  <c:v>-0.17669999999999986</c:v>
                </c:pt>
                <c:pt idx="8">
                  <c:v>0.25230000000000041</c:v>
                </c:pt>
                <c:pt idx="9">
                  <c:v>2.5566666666666293E-2</c:v>
                </c:pt>
                <c:pt idx="10">
                  <c:v>0.2745666666666664</c:v>
                </c:pt>
                <c:pt idx="11">
                  <c:v>-0.5014333333333334</c:v>
                </c:pt>
              </c:numCache>
            </c:numRef>
          </c:yVal>
          <c:smooth val="0"/>
        </c:ser>
        <c:dLbls>
          <c:showLegendKey val="0"/>
          <c:showVal val="0"/>
          <c:showCatName val="0"/>
          <c:showSerName val="0"/>
          <c:showPercent val="0"/>
          <c:showBubbleSize val="0"/>
        </c:dLbls>
        <c:axId val="86196992"/>
        <c:axId val="86198912"/>
      </c:scatterChart>
      <c:valAx>
        <c:axId val="86196992"/>
        <c:scaling>
          <c:orientation val="minMax"/>
        </c:scaling>
        <c:delete val="0"/>
        <c:axPos val="b"/>
        <c:title>
          <c:tx>
            <c:rich>
              <a:bodyPr/>
              <a:lstStyle/>
              <a:p>
                <a:pPr>
                  <a:defRPr/>
                </a:pPr>
                <a:r>
                  <a:rPr lang="en-US"/>
                  <a:t>predicted values (yhat)</a:t>
                </a:r>
              </a:p>
            </c:rich>
          </c:tx>
          <c:overlay val="0"/>
        </c:title>
        <c:numFmt formatCode="General" sourceLinked="1"/>
        <c:majorTickMark val="out"/>
        <c:minorTickMark val="none"/>
        <c:tickLblPos val="nextTo"/>
        <c:crossAx val="86198912"/>
        <c:crosses val="autoZero"/>
        <c:crossBetween val="midCat"/>
      </c:valAx>
      <c:valAx>
        <c:axId val="86198912"/>
        <c:scaling>
          <c:orientation val="minMax"/>
        </c:scaling>
        <c:delete val="0"/>
        <c:axPos val="l"/>
        <c:majorGridlines/>
        <c:numFmt formatCode="0.000" sourceLinked="1"/>
        <c:majorTickMark val="out"/>
        <c:minorTickMark val="none"/>
        <c:tickLblPos val="nextTo"/>
        <c:crossAx val="86196992"/>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residualplots!$E$32</c:f>
              <c:strCache>
                <c:ptCount val="1"/>
                <c:pt idx="0">
                  <c:v>residual</c:v>
                </c:pt>
              </c:strCache>
            </c:strRef>
          </c:tx>
          <c:spPr>
            <a:ln w="28575">
              <a:noFill/>
            </a:ln>
          </c:spPr>
          <c:xVal>
            <c:numRef>
              <c:f>residualplots!$B$33:$B$62</c:f>
              <c:numCache>
                <c:formatCode>_("$"* #,##0_);_("$"* \(#,##0\);_("$"* "-"??_);_(@_)</c:formatCode>
                <c:ptCount val="30"/>
                <c:pt idx="0">
                  <c:v>60697</c:v>
                </c:pt>
                <c:pt idx="1">
                  <c:v>50156</c:v>
                </c:pt>
                <c:pt idx="2">
                  <c:v>45448</c:v>
                </c:pt>
                <c:pt idx="3">
                  <c:v>46504</c:v>
                </c:pt>
                <c:pt idx="4">
                  <c:v>52424</c:v>
                </c:pt>
                <c:pt idx="5">
                  <c:v>42508</c:v>
                </c:pt>
                <c:pt idx="6">
                  <c:v>50831</c:v>
                </c:pt>
                <c:pt idx="7">
                  <c:v>48376</c:v>
                </c:pt>
                <c:pt idx="8">
                  <c:v>49992</c:v>
                </c:pt>
                <c:pt idx="9">
                  <c:v>45368</c:v>
                </c:pt>
                <c:pt idx="10">
                  <c:v>47169</c:v>
                </c:pt>
                <c:pt idx="11">
                  <c:v>51145</c:v>
                </c:pt>
                <c:pt idx="12">
                  <c:v>53487</c:v>
                </c:pt>
                <c:pt idx="13">
                  <c:v>50216</c:v>
                </c:pt>
                <c:pt idx="14">
                  <c:v>39270</c:v>
                </c:pt>
                <c:pt idx="15">
                  <c:v>45687</c:v>
                </c:pt>
                <c:pt idx="16">
                  <c:v>46099</c:v>
                </c:pt>
                <c:pt idx="17">
                  <c:v>48109</c:v>
                </c:pt>
                <c:pt idx="18">
                  <c:v>42562</c:v>
                </c:pt>
                <c:pt idx="19">
                  <c:v>56941</c:v>
                </c:pt>
                <c:pt idx="20">
                  <c:v>43300</c:v>
                </c:pt>
                <c:pt idx="21">
                  <c:v>47331</c:v>
                </c:pt>
                <c:pt idx="22">
                  <c:v>45485</c:v>
                </c:pt>
                <c:pt idx="23">
                  <c:v>47220</c:v>
                </c:pt>
                <c:pt idx="24">
                  <c:v>45860</c:v>
                </c:pt>
                <c:pt idx="25">
                  <c:v>47051</c:v>
                </c:pt>
                <c:pt idx="26">
                  <c:v>67738</c:v>
                </c:pt>
                <c:pt idx="27">
                  <c:v>40175</c:v>
                </c:pt>
                <c:pt idx="28">
                  <c:v>47421</c:v>
                </c:pt>
                <c:pt idx="29">
                  <c:v>45961</c:v>
                </c:pt>
              </c:numCache>
            </c:numRef>
          </c:xVal>
          <c:yVal>
            <c:numRef>
              <c:f>residualplots!$E$33:$E$62</c:f>
              <c:numCache>
                <c:formatCode>0.000</c:formatCode>
                <c:ptCount val="30"/>
                <c:pt idx="0">
                  <c:v>-0.62369648292092705</c:v>
                </c:pt>
                <c:pt idx="1">
                  <c:v>-3.033764634288616E-3</c:v>
                </c:pt>
                <c:pt idx="2">
                  <c:v>1.1342234364114532</c:v>
                </c:pt>
                <c:pt idx="3">
                  <c:v>-2.0653145914462687</c:v>
                </c:pt>
                <c:pt idx="4">
                  <c:v>-0.21956898403323422</c:v>
                </c:pt>
                <c:pt idx="5">
                  <c:v>-0.2617824062896652</c:v>
                </c:pt>
                <c:pt idx="6">
                  <c:v>2.8632745339513441</c:v>
                </c:pt>
                <c:pt idx="7">
                  <c:v>0.82813073077145027</c:v>
                </c:pt>
                <c:pt idx="8">
                  <c:v>-1.0313144845089628</c:v>
                </c:pt>
                <c:pt idx="9">
                  <c:v>0.43198666875813529</c:v>
                </c:pt>
                <c:pt idx="10">
                  <c:v>-1.2223241953369151</c:v>
                </c:pt>
                <c:pt idx="11">
                  <c:v>0.39126809130732454</c:v>
                </c:pt>
                <c:pt idx="12">
                  <c:v>-1.2160349134175341</c:v>
                </c:pt>
                <c:pt idx="13">
                  <c:v>-2.2841215261504804</c:v>
                </c:pt>
                <c:pt idx="14">
                  <c:v>-2.9059622443174629</c:v>
                </c:pt>
                <c:pt idx="15">
                  <c:v>-1.998043155061346</c:v>
                </c:pt>
                <c:pt idx="16">
                  <c:v>2.0438204413135921</c:v>
                </c:pt>
                <c:pt idx="17">
                  <c:v>0.55799601687953704</c:v>
                </c:pt>
                <c:pt idx="18">
                  <c:v>1.0337666371554768</c:v>
                </c:pt>
                <c:pt idx="19">
                  <c:v>0.70005711702555473</c:v>
                </c:pt>
                <c:pt idx="20">
                  <c:v>2.2185217257408372</c:v>
                </c:pt>
                <c:pt idx="21">
                  <c:v>1.0381961227634307</c:v>
                </c:pt>
                <c:pt idx="22">
                  <c:v>0.4667799036842819</c:v>
                </c:pt>
                <c:pt idx="23">
                  <c:v>3.1959965921928841</c:v>
                </c:pt>
                <c:pt idx="24">
                  <c:v>-0.1967400280433651</c:v>
                </c:pt>
                <c:pt idx="25">
                  <c:v>-0.14711269556607753</c:v>
                </c:pt>
                <c:pt idx="26">
                  <c:v>-1.1959683483435022</c:v>
                </c:pt>
                <c:pt idx="27">
                  <c:v>-2.803683702014176</c:v>
                </c:pt>
                <c:pt idx="28">
                  <c:v>2.1973738297725625</c:v>
                </c:pt>
                <c:pt idx="29">
                  <c:v>-0.92669032564366738</c:v>
                </c:pt>
              </c:numCache>
            </c:numRef>
          </c:yVal>
          <c:smooth val="0"/>
        </c:ser>
        <c:dLbls>
          <c:showLegendKey val="0"/>
          <c:showVal val="0"/>
          <c:showCatName val="0"/>
          <c:showSerName val="0"/>
          <c:showPercent val="0"/>
          <c:showBubbleSize val="0"/>
        </c:dLbls>
        <c:axId val="86227968"/>
        <c:axId val="86238336"/>
      </c:scatterChart>
      <c:valAx>
        <c:axId val="86227968"/>
        <c:scaling>
          <c:orientation val="minMax"/>
        </c:scaling>
        <c:delete val="0"/>
        <c:axPos val="b"/>
        <c:title>
          <c:tx>
            <c:rich>
              <a:bodyPr/>
              <a:lstStyle/>
              <a:p>
                <a:pPr>
                  <a:defRPr/>
                </a:pPr>
                <a:r>
                  <a:rPr lang="en-US"/>
                  <a:t>Average teacher salary in the district</a:t>
                </a:r>
              </a:p>
            </c:rich>
          </c:tx>
          <c:overlay val="0"/>
        </c:title>
        <c:numFmt formatCode="_(&quot;$&quot;* #,##0_);_(&quot;$&quot;* \(#,##0\);_(&quot;$&quot;* &quot;-&quot;??_);_(@_)" sourceLinked="1"/>
        <c:majorTickMark val="out"/>
        <c:minorTickMark val="none"/>
        <c:tickLblPos val="nextTo"/>
        <c:crossAx val="86238336"/>
        <c:crosses val="autoZero"/>
        <c:crossBetween val="midCat"/>
      </c:valAx>
      <c:valAx>
        <c:axId val="86238336"/>
        <c:scaling>
          <c:orientation val="minMax"/>
        </c:scaling>
        <c:delete val="0"/>
        <c:axPos val="l"/>
        <c:majorGridlines/>
        <c:numFmt formatCode="0.000" sourceLinked="1"/>
        <c:majorTickMark val="out"/>
        <c:minorTickMark val="none"/>
        <c:tickLblPos val="nextTo"/>
        <c:crossAx val="86227968"/>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residualplots!$E$32</c:f>
              <c:strCache>
                <c:ptCount val="1"/>
                <c:pt idx="0">
                  <c:v>residual</c:v>
                </c:pt>
              </c:strCache>
            </c:strRef>
          </c:tx>
          <c:spPr>
            <a:ln w="28575">
              <a:noFill/>
            </a:ln>
          </c:spPr>
          <c:xVal>
            <c:numRef>
              <c:f>residualplots!$D$33:$D$62</c:f>
              <c:numCache>
                <c:formatCode>_(* #,##0.00_);_(* \(#,##0.00\);_(* "-"??_);_(@_)</c:formatCode>
                <c:ptCount val="30"/>
                <c:pt idx="0">
                  <c:v>17.268140927365373</c:v>
                </c:pt>
                <c:pt idx="1">
                  <c:v>15.994261834809727</c:v>
                </c:pt>
                <c:pt idx="2">
                  <c:v>15.425300373112357</c:v>
                </c:pt>
                <c:pt idx="3">
                  <c:v>15.552917897231392</c:v>
                </c:pt>
                <c:pt idx="4">
                  <c:v>16.268349471838111</c:v>
                </c:pt>
                <c:pt idx="5">
                  <c:v>15.070001584371857</c:v>
                </c:pt>
                <c:pt idx="6">
                  <c:v>16.075835536306268</c:v>
                </c:pt>
                <c:pt idx="7">
                  <c:v>15.779148962715139</c:v>
                </c:pt>
                <c:pt idx="8">
                  <c:v>15.974442446594271</c:v>
                </c:pt>
                <c:pt idx="9">
                  <c:v>15.415632378860913</c:v>
                </c:pt>
                <c:pt idx="10">
                  <c:v>15.633283099446505</c:v>
                </c:pt>
                <c:pt idx="11">
                  <c:v>16.113782413743181</c:v>
                </c:pt>
                <c:pt idx="12">
                  <c:v>16.396812945454148</c:v>
                </c:pt>
                <c:pt idx="13">
                  <c:v>16.001512830498307</c:v>
                </c:pt>
                <c:pt idx="14">
                  <c:v>14.678689517044736</c:v>
                </c:pt>
                <c:pt idx="15">
                  <c:v>15.45418350593854</c:v>
                </c:pt>
                <c:pt idx="16">
                  <c:v>15.503973676333466</c:v>
                </c:pt>
                <c:pt idx="17">
                  <c:v>15.746882031900951</c:v>
                </c:pt>
                <c:pt idx="18">
                  <c:v>15.076527480491581</c:v>
                </c:pt>
                <c:pt idx="19">
                  <c:v>16.814228597260161</c:v>
                </c:pt>
                <c:pt idx="20">
                  <c:v>15.165714727461134</c:v>
                </c:pt>
                <c:pt idx="21">
                  <c:v>15.652860787805675</c:v>
                </c:pt>
                <c:pt idx="22">
                  <c:v>15.429771820453649</c:v>
                </c:pt>
                <c:pt idx="23">
                  <c:v>15.6394464457818</c:v>
                </c:pt>
                <c:pt idx="24">
                  <c:v>15.475090543507283</c:v>
                </c:pt>
                <c:pt idx="25">
                  <c:v>15.619022807925628</c:v>
                </c:pt>
                <c:pt idx="26">
                  <c:v>18.119045271420426</c:v>
                </c:pt>
                <c:pt idx="27">
                  <c:v>14.788058702014176</c:v>
                </c:pt>
                <c:pt idx="28">
                  <c:v>15.663737281338548</c:v>
                </c:pt>
                <c:pt idx="29">
                  <c:v>15.487296386249728</c:v>
                </c:pt>
              </c:numCache>
            </c:numRef>
          </c:xVal>
          <c:yVal>
            <c:numRef>
              <c:f>residualplots!$E$33:$E$62</c:f>
              <c:numCache>
                <c:formatCode>0.000</c:formatCode>
                <c:ptCount val="30"/>
                <c:pt idx="0">
                  <c:v>-0.62369648292092705</c:v>
                </c:pt>
                <c:pt idx="1">
                  <c:v>-3.033764634288616E-3</c:v>
                </c:pt>
                <c:pt idx="2">
                  <c:v>1.1342234364114532</c:v>
                </c:pt>
                <c:pt idx="3">
                  <c:v>-2.0653145914462687</c:v>
                </c:pt>
                <c:pt idx="4">
                  <c:v>-0.21956898403323422</c:v>
                </c:pt>
                <c:pt idx="5">
                  <c:v>-0.2617824062896652</c:v>
                </c:pt>
                <c:pt idx="6">
                  <c:v>2.8632745339513441</c:v>
                </c:pt>
                <c:pt idx="7">
                  <c:v>0.82813073077145027</c:v>
                </c:pt>
                <c:pt idx="8">
                  <c:v>-1.0313144845089628</c:v>
                </c:pt>
                <c:pt idx="9">
                  <c:v>0.43198666875813529</c:v>
                </c:pt>
                <c:pt idx="10">
                  <c:v>-1.2223241953369151</c:v>
                </c:pt>
                <c:pt idx="11">
                  <c:v>0.39126809130732454</c:v>
                </c:pt>
                <c:pt idx="12">
                  <c:v>-1.2160349134175341</c:v>
                </c:pt>
                <c:pt idx="13">
                  <c:v>-2.2841215261504804</c:v>
                </c:pt>
                <c:pt idx="14">
                  <c:v>-2.9059622443174629</c:v>
                </c:pt>
                <c:pt idx="15">
                  <c:v>-1.998043155061346</c:v>
                </c:pt>
                <c:pt idx="16">
                  <c:v>2.0438204413135921</c:v>
                </c:pt>
                <c:pt idx="17">
                  <c:v>0.55799601687953704</c:v>
                </c:pt>
                <c:pt idx="18">
                  <c:v>1.0337666371554768</c:v>
                </c:pt>
                <c:pt idx="19">
                  <c:v>0.70005711702555473</c:v>
                </c:pt>
                <c:pt idx="20">
                  <c:v>2.2185217257408372</c:v>
                </c:pt>
                <c:pt idx="21">
                  <c:v>1.0381961227634307</c:v>
                </c:pt>
                <c:pt idx="22">
                  <c:v>0.4667799036842819</c:v>
                </c:pt>
                <c:pt idx="23">
                  <c:v>3.1959965921928841</c:v>
                </c:pt>
                <c:pt idx="24">
                  <c:v>-0.1967400280433651</c:v>
                </c:pt>
                <c:pt idx="25">
                  <c:v>-0.14711269556607753</c:v>
                </c:pt>
                <c:pt idx="26">
                  <c:v>-1.1959683483435022</c:v>
                </c:pt>
                <c:pt idx="27">
                  <c:v>-2.803683702014176</c:v>
                </c:pt>
                <c:pt idx="28">
                  <c:v>2.1973738297725625</c:v>
                </c:pt>
                <c:pt idx="29">
                  <c:v>-0.92669032564366738</c:v>
                </c:pt>
              </c:numCache>
            </c:numRef>
          </c:yVal>
          <c:smooth val="0"/>
        </c:ser>
        <c:dLbls>
          <c:showLegendKey val="0"/>
          <c:showVal val="0"/>
          <c:showCatName val="0"/>
          <c:showSerName val="0"/>
          <c:showPercent val="0"/>
          <c:showBubbleSize val="0"/>
        </c:dLbls>
        <c:axId val="94193152"/>
        <c:axId val="94195072"/>
      </c:scatterChart>
      <c:valAx>
        <c:axId val="94193152"/>
        <c:scaling>
          <c:orientation val="minMax"/>
        </c:scaling>
        <c:delete val="0"/>
        <c:axPos val="b"/>
        <c:title>
          <c:tx>
            <c:rich>
              <a:bodyPr/>
              <a:lstStyle/>
              <a:p>
                <a:pPr>
                  <a:defRPr/>
                </a:pPr>
                <a:r>
                  <a:rPr lang="en-US"/>
                  <a:t>predicted values = yhat</a:t>
                </a:r>
              </a:p>
            </c:rich>
          </c:tx>
          <c:overlay val="0"/>
        </c:title>
        <c:numFmt formatCode="_(* #,##0.00_);_(* \(#,##0.00\);_(* &quot;-&quot;??_);_(@_)" sourceLinked="1"/>
        <c:majorTickMark val="out"/>
        <c:minorTickMark val="none"/>
        <c:tickLblPos val="nextTo"/>
        <c:crossAx val="94195072"/>
        <c:crosses val="autoZero"/>
        <c:crossBetween val="midCat"/>
      </c:valAx>
      <c:valAx>
        <c:axId val="94195072"/>
        <c:scaling>
          <c:orientation val="minMax"/>
        </c:scaling>
        <c:delete val="0"/>
        <c:axPos val="l"/>
        <c:majorGridlines/>
        <c:numFmt formatCode="0.000" sourceLinked="1"/>
        <c:majorTickMark val="out"/>
        <c:minorTickMark val="none"/>
        <c:tickLblPos val="nextTo"/>
        <c:crossAx val="94193152"/>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residualplots!$D$68</c:f>
              <c:strCache>
                <c:ptCount val="1"/>
                <c:pt idx="0">
                  <c:v>residual</c:v>
                </c:pt>
              </c:strCache>
            </c:strRef>
          </c:tx>
          <c:spPr>
            <a:ln w="28575">
              <a:noFill/>
            </a:ln>
          </c:spPr>
          <c:xVal>
            <c:numRef>
              <c:f>residualplots!$A$69:$A$89</c:f>
              <c:numCache>
                <c:formatCode>General</c:formatCode>
                <c:ptCount val="21"/>
                <c:pt idx="0">
                  <c:v>1790</c:v>
                </c:pt>
                <c:pt idx="1">
                  <c:v>1800</c:v>
                </c:pt>
                <c:pt idx="2">
                  <c:v>1810</c:v>
                </c:pt>
                <c:pt idx="3">
                  <c:v>1820</c:v>
                </c:pt>
                <c:pt idx="4">
                  <c:v>1830</c:v>
                </c:pt>
                <c:pt idx="5">
                  <c:v>1840</c:v>
                </c:pt>
                <c:pt idx="6">
                  <c:v>1850</c:v>
                </c:pt>
                <c:pt idx="7">
                  <c:v>1860</c:v>
                </c:pt>
                <c:pt idx="8">
                  <c:v>1870</c:v>
                </c:pt>
                <c:pt idx="9">
                  <c:v>1880</c:v>
                </c:pt>
                <c:pt idx="10">
                  <c:v>1890</c:v>
                </c:pt>
                <c:pt idx="11">
                  <c:v>1900</c:v>
                </c:pt>
                <c:pt idx="12">
                  <c:v>1910</c:v>
                </c:pt>
                <c:pt idx="13">
                  <c:v>1920</c:v>
                </c:pt>
                <c:pt idx="14">
                  <c:v>1930</c:v>
                </c:pt>
                <c:pt idx="15">
                  <c:v>1940</c:v>
                </c:pt>
                <c:pt idx="16">
                  <c:v>1950</c:v>
                </c:pt>
                <c:pt idx="17">
                  <c:v>1960</c:v>
                </c:pt>
                <c:pt idx="18">
                  <c:v>1970</c:v>
                </c:pt>
                <c:pt idx="19">
                  <c:v>1980</c:v>
                </c:pt>
                <c:pt idx="20">
                  <c:v>1990</c:v>
                </c:pt>
              </c:numCache>
            </c:numRef>
          </c:xVal>
          <c:yVal>
            <c:numRef>
              <c:f>residualplots!$D$69:$D$89</c:f>
              <c:numCache>
                <c:formatCode>0.00</c:formatCode>
                <c:ptCount val="21"/>
                <c:pt idx="0">
                  <c:v>1820363.9220779538</c:v>
                </c:pt>
                <c:pt idx="1">
                  <c:v>1143508.4584415853</c:v>
                </c:pt>
                <c:pt idx="2">
                  <c:v>166141.99480521679</c:v>
                </c:pt>
                <c:pt idx="3">
                  <c:v>-377551.46883115172</c:v>
                </c:pt>
                <c:pt idx="4">
                  <c:v>-774373.93246752024</c:v>
                </c:pt>
                <c:pt idx="5">
                  <c:v>-228072.39610388875</c:v>
                </c:pt>
                <c:pt idx="6">
                  <c:v>528261.14025977254</c:v>
                </c:pt>
                <c:pt idx="7">
                  <c:v>-1980822.323376596</c:v>
                </c:pt>
                <c:pt idx="8">
                  <c:v>344408.21298703551</c:v>
                </c:pt>
                <c:pt idx="9">
                  <c:v>1767176.749350667</c:v>
                </c:pt>
                <c:pt idx="10">
                  <c:v>18464.285714298487</c:v>
                </c:pt>
                <c:pt idx="11">
                  <c:v>1429701.82207793</c:v>
                </c:pt>
                <c:pt idx="12">
                  <c:v>-2166273.6415584087</c:v>
                </c:pt>
                <c:pt idx="13">
                  <c:v>-150916.10519477725</c:v>
                </c:pt>
                <c:pt idx="14">
                  <c:v>-9742746.5688311458</c:v>
                </c:pt>
                <c:pt idx="15">
                  <c:v>-916151.03246751428</c:v>
                </c:pt>
                <c:pt idx="16">
                  <c:v>6547308.5038961172</c:v>
                </c:pt>
                <c:pt idx="17">
                  <c:v>1065994.0402597785</c:v>
                </c:pt>
                <c:pt idx="18">
                  <c:v>-861566.42337661982</c:v>
                </c:pt>
                <c:pt idx="19">
                  <c:v>-3404065.8870129585</c:v>
                </c:pt>
                <c:pt idx="20">
                  <c:v>5771210.6493506432</c:v>
                </c:pt>
              </c:numCache>
            </c:numRef>
          </c:yVal>
          <c:smooth val="0"/>
        </c:ser>
        <c:dLbls>
          <c:showLegendKey val="0"/>
          <c:showVal val="0"/>
          <c:showCatName val="0"/>
          <c:showSerName val="0"/>
          <c:showPercent val="0"/>
          <c:showBubbleSize val="0"/>
        </c:dLbls>
        <c:axId val="94237440"/>
        <c:axId val="94239360"/>
      </c:scatterChart>
      <c:valAx>
        <c:axId val="94237440"/>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94239360"/>
        <c:crosses val="autoZero"/>
        <c:crossBetween val="midCat"/>
      </c:valAx>
      <c:valAx>
        <c:axId val="94239360"/>
        <c:scaling>
          <c:orientation val="minMax"/>
        </c:scaling>
        <c:delete val="0"/>
        <c:axPos val="l"/>
        <c:majorGridlines/>
        <c:numFmt formatCode="0.00" sourceLinked="1"/>
        <c:majorTickMark val="out"/>
        <c:minorTickMark val="none"/>
        <c:tickLblPos val="nextTo"/>
        <c:crossAx val="94237440"/>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t>
            </a:r>
            <a:r>
              <a:rPr lang="en-US" baseline="0"/>
              <a:t> people increase in US population every 10 years</a:t>
            </a:r>
            <a:endParaRPr lang="en-US"/>
          </a:p>
        </c:rich>
      </c:tx>
      <c:overlay val="0"/>
    </c:title>
    <c:autoTitleDeleted val="0"/>
    <c:plotArea>
      <c:layout/>
      <c:scatterChart>
        <c:scatterStyle val="lineMarker"/>
        <c:varyColors val="0"/>
        <c:ser>
          <c:idx val="0"/>
          <c:order val="0"/>
          <c:tx>
            <c:strRef>
              <c:f>threetypes!$B$70</c:f>
              <c:strCache>
                <c:ptCount val="1"/>
                <c:pt idx="0">
                  <c:v># increase to t+10</c:v>
                </c:pt>
              </c:strCache>
            </c:strRef>
          </c:tx>
          <c:spPr>
            <a:ln w="28575">
              <a:noFill/>
            </a:ln>
          </c:spPr>
          <c:xVal>
            <c:numRef>
              <c:f>threetypes!$A$71:$A$91</c:f>
              <c:numCache>
                <c:formatCode>General</c:formatCode>
                <c:ptCount val="21"/>
                <c:pt idx="0">
                  <c:v>1790</c:v>
                </c:pt>
                <c:pt idx="1">
                  <c:v>1800</c:v>
                </c:pt>
                <c:pt idx="2">
                  <c:v>1810</c:v>
                </c:pt>
                <c:pt idx="3">
                  <c:v>1820</c:v>
                </c:pt>
                <c:pt idx="4">
                  <c:v>1830</c:v>
                </c:pt>
                <c:pt idx="5">
                  <c:v>1840</c:v>
                </c:pt>
                <c:pt idx="6">
                  <c:v>1850</c:v>
                </c:pt>
                <c:pt idx="7">
                  <c:v>1860</c:v>
                </c:pt>
                <c:pt idx="8">
                  <c:v>1870</c:v>
                </c:pt>
                <c:pt idx="9">
                  <c:v>1880</c:v>
                </c:pt>
                <c:pt idx="10">
                  <c:v>1890</c:v>
                </c:pt>
                <c:pt idx="11">
                  <c:v>1900</c:v>
                </c:pt>
                <c:pt idx="12">
                  <c:v>1910</c:v>
                </c:pt>
                <c:pt idx="13">
                  <c:v>1920</c:v>
                </c:pt>
                <c:pt idx="14">
                  <c:v>1930</c:v>
                </c:pt>
                <c:pt idx="15">
                  <c:v>1940</c:v>
                </c:pt>
                <c:pt idx="16">
                  <c:v>1950</c:v>
                </c:pt>
                <c:pt idx="17">
                  <c:v>1960</c:v>
                </c:pt>
                <c:pt idx="18">
                  <c:v>1970</c:v>
                </c:pt>
                <c:pt idx="19">
                  <c:v>1980</c:v>
                </c:pt>
                <c:pt idx="20">
                  <c:v>1990</c:v>
                </c:pt>
              </c:numCache>
            </c:numRef>
          </c:xVal>
          <c:yVal>
            <c:numRef>
              <c:f>threetypes!$B$71:$B$91</c:f>
              <c:numCache>
                <c:formatCode>_(* #,##0_);_(* \(#,##0\);_(* "-"??_);_(@_)</c:formatCode>
                <c:ptCount val="21"/>
                <c:pt idx="0">
                  <c:v>1307417</c:v>
                </c:pt>
                <c:pt idx="1">
                  <c:v>2003250</c:v>
                </c:pt>
                <c:pt idx="2">
                  <c:v>2398572</c:v>
                </c:pt>
                <c:pt idx="3">
                  <c:v>3227567</c:v>
                </c:pt>
                <c:pt idx="4">
                  <c:v>4203433</c:v>
                </c:pt>
                <c:pt idx="5">
                  <c:v>6122423</c:v>
                </c:pt>
                <c:pt idx="6">
                  <c:v>8251445</c:v>
                </c:pt>
                <c:pt idx="7">
                  <c:v>7115050</c:v>
                </c:pt>
                <c:pt idx="8">
                  <c:v>10812969</c:v>
                </c:pt>
                <c:pt idx="9">
                  <c:v>13608426</c:v>
                </c:pt>
                <c:pt idx="10">
                  <c:v>13232402</c:v>
                </c:pt>
                <c:pt idx="11">
                  <c:v>16016328</c:v>
                </c:pt>
                <c:pt idx="12">
                  <c:v>13793041</c:v>
                </c:pt>
                <c:pt idx="13">
                  <c:v>17181087</c:v>
                </c:pt>
                <c:pt idx="14">
                  <c:v>8961945</c:v>
                </c:pt>
                <c:pt idx="15">
                  <c:v>19161229</c:v>
                </c:pt>
                <c:pt idx="16">
                  <c:v>27997377</c:v>
                </c:pt>
                <c:pt idx="17">
                  <c:v>23888751</c:v>
                </c:pt>
                <c:pt idx="18">
                  <c:v>23333879</c:v>
                </c:pt>
                <c:pt idx="19">
                  <c:v>22164068</c:v>
                </c:pt>
                <c:pt idx="20">
                  <c:v>32712033</c:v>
                </c:pt>
              </c:numCache>
            </c:numRef>
          </c:yVal>
          <c:smooth val="0"/>
        </c:ser>
        <c:dLbls>
          <c:showLegendKey val="0"/>
          <c:showVal val="0"/>
          <c:showCatName val="0"/>
          <c:showSerName val="0"/>
          <c:showPercent val="0"/>
          <c:showBubbleSize val="0"/>
        </c:dLbls>
        <c:axId val="83277696"/>
        <c:axId val="83279232"/>
      </c:scatterChart>
      <c:valAx>
        <c:axId val="83277696"/>
        <c:scaling>
          <c:orientation val="minMax"/>
        </c:scaling>
        <c:delete val="0"/>
        <c:axPos val="b"/>
        <c:numFmt formatCode="General" sourceLinked="1"/>
        <c:majorTickMark val="out"/>
        <c:minorTickMark val="none"/>
        <c:tickLblPos val="nextTo"/>
        <c:crossAx val="83279232"/>
        <c:crosses val="autoZero"/>
        <c:crossBetween val="midCat"/>
      </c:valAx>
      <c:valAx>
        <c:axId val="83279232"/>
        <c:scaling>
          <c:orientation val="minMax"/>
        </c:scaling>
        <c:delete val="0"/>
        <c:axPos val="l"/>
        <c:majorGridlines/>
        <c:numFmt formatCode="_(* #,##0_);_(* \(#,##0\);_(* &quot;-&quot;??_);_(@_)" sourceLinked="1"/>
        <c:majorTickMark val="out"/>
        <c:minorTickMark val="none"/>
        <c:tickLblPos val="nextTo"/>
        <c:crossAx val="83277696"/>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residualplots!$D$68</c:f>
              <c:strCache>
                <c:ptCount val="1"/>
                <c:pt idx="0">
                  <c:v>residual</c:v>
                </c:pt>
              </c:strCache>
            </c:strRef>
          </c:tx>
          <c:spPr>
            <a:ln w="28575">
              <a:noFill/>
            </a:ln>
          </c:spPr>
          <c:trendline>
            <c:trendlineType val="linear"/>
            <c:dispRSqr val="1"/>
            <c:dispEq val="1"/>
            <c:trendlineLbl>
              <c:layout>
                <c:manualLayout>
                  <c:x val="2.4764603169373702E-2"/>
                  <c:y val="-0.36331164141723765"/>
                </c:manualLayout>
              </c:layout>
              <c:numFmt formatCode="General" sourceLinked="0"/>
            </c:trendlineLbl>
          </c:trendline>
          <c:xVal>
            <c:numRef>
              <c:f>residualplots!$C$69:$C$89</c:f>
              <c:numCache>
                <c:formatCode>0.00</c:formatCode>
                <c:ptCount val="21"/>
                <c:pt idx="0">
                  <c:v>-512946.92207795382</c:v>
                </c:pt>
                <c:pt idx="1">
                  <c:v>859741.5415584147</c:v>
                </c:pt>
                <c:pt idx="2">
                  <c:v>2232430.0051947832</c:v>
                </c:pt>
                <c:pt idx="3">
                  <c:v>3605118.4688311517</c:v>
                </c:pt>
                <c:pt idx="4">
                  <c:v>4977806.9324675202</c:v>
                </c:pt>
                <c:pt idx="5">
                  <c:v>6350495.3961038888</c:v>
                </c:pt>
                <c:pt idx="6">
                  <c:v>7723183.8597402275</c:v>
                </c:pt>
                <c:pt idx="7">
                  <c:v>9095872.323376596</c:v>
                </c:pt>
                <c:pt idx="8">
                  <c:v>10468560.787012964</c:v>
                </c:pt>
                <c:pt idx="9">
                  <c:v>11841249.250649333</c:v>
                </c:pt>
                <c:pt idx="10">
                  <c:v>13213937.714285702</c:v>
                </c:pt>
                <c:pt idx="11">
                  <c:v>14586626.17792207</c:v>
                </c:pt>
                <c:pt idx="12">
                  <c:v>15959314.641558409</c:v>
                </c:pt>
                <c:pt idx="13">
                  <c:v>17332003.105194777</c:v>
                </c:pt>
                <c:pt idx="14">
                  <c:v>18704691.568831146</c:v>
                </c:pt>
                <c:pt idx="15">
                  <c:v>20077380.032467514</c:v>
                </c:pt>
                <c:pt idx="16">
                  <c:v>21450068.496103883</c:v>
                </c:pt>
                <c:pt idx="17">
                  <c:v>22822756.959740222</c:v>
                </c:pt>
                <c:pt idx="18">
                  <c:v>24195445.42337662</c:v>
                </c:pt>
                <c:pt idx="19">
                  <c:v>25568133.887012959</c:v>
                </c:pt>
                <c:pt idx="20">
                  <c:v>26940822.350649357</c:v>
                </c:pt>
              </c:numCache>
            </c:numRef>
          </c:xVal>
          <c:yVal>
            <c:numRef>
              <c:f>residualplots!$D$69:$D$89</c:f>
              <c:numCache>
                <c:formatCode>0.00</c:formatCode>
                <c:ptCount val="21"/>
                <c:pt idx="0">
                  <c:v>1820363.9220779538</c:v>
                </c:pt>
                <c:pt idx="1">
                  <c:v>1143508.4584415853</c:v>
                </c:pt>
                <c:pt idx="2">
                  <c:v>166141.99480521679</c:v>
                </c:pt>
                <c:pt idx="3">
                  <c:v>-377551.46883115172</c:v>
                </c:pt>
                <c:pt idx="4">
                  <c:v>-774373.93246752024</c:v>
                </c:pt>
                <c:pt idx="5">
                  <c:v>-228072.39610388875</c:v>
                </c:pt>
                <c:pt idx="6">
                  <c:v>528261.14025977254</c:v>
                </c:pt>
                <c:pt idx="7">
                  <c:v>-1980822.323376596</c:v>
                </c:pt>
                <c:pt idx="8">
                  <c:v>344408.21298703551</c:v>
                </c:pt>
                <c:pt idx="9">
                  <c:v>1767176.749350667</c:v>
                </c:pt>
                <c:pt idx="10">
                  <c:v>18464.285714298487</c:v>
                </c:pt>
                <c:pt idx="11">
                  <c:v>1429701.82207793</c:v>
                </c:pt>
                <c:pt idx="12">
                  <c:v>-2166273.6415584087</c:v>
                </c:pt>
                <c:pt idx="13">
                  <c:v>-150916.10519477725</c:v>
                </c:pt>
                <c:pt idx="14">
                  <c:v>-9742746.5688311458</c:v>
                </c:pt>
                <c:pt idx="15">
                  <c:v>-916151.03246751428</c:v>
                </c:pt>
                <c:pt idx="16">
                  <c:v>6547308.5038961172</c:v>
                </c:pt>
                <c:pt idx="17">
                  <c:v>1065994.0402597785</c:v>
                </c:pt>
                <c:pt idx="18">
                  <c:v>-861566.42337661982</c:v>
                </c:pt>
                <c:pt idx="19">
                  <c:v>-3404065.8870129585</c:v>
                </c:pt>
                <c:pt idx="20">
                  <c:v>5771210.6493506432</c:v>
                </c:pt>
              </c:numCache>
            </c:numRef>
          </c:yVal>
          <c:smooth val="0"/>
        </c:ser>
        <c:dLbls>
          <c:showLegendKey val="0"/>
          <c:showVal val="0"/>
          <c:showCatName val="0"/>
          <c:showSerName val="0"/>
          <c:showPercent val="0"/>
          <c:showBubbleSize val="0"/>
        </c:dLbls>
        <c:axId val="94612864"/>
        <c:axId val="94623232"/>
      </c:scatterChart>
      <c:valAx>
        <c:axId val="94612864"/>
        <c:scaling>
          <c:orientation val="minMax"/>
        </c:scaling>
        <c:delete val="0"/>
        <c:axPos val="b"/>
        <c:title>
          <c:tx>
            <c:rich>
              <a:bodyPr/>
              <a:lstStyle/>
              <a:p>
                <a:pPr>
                  <a:defRPr/>
                </a:pPr>
                <a:r>
                  <a:rPr lang="en-US"/>
                  <a:t>predicted value = yhat</a:t>
                </a:r>
              </a:p>
            </c:rich>
          </c:tx>
          <c:overlay val="0"/>
        </c:title>
        <c:numFmt formatCode="0.00" sourceLinked="1"/>
        <c:majorTickMark val="out"/>
        <c:minorTickMark val="none"/>
        <c:tickLblPos val="nextTo"/>
        <c:crossAx val="94623232"/>
        <c:crosses val="autoZero"/>
        <c:crossBetween val="midCat"/>
      </c:valAx>
      <c:valAx>
        <c:axId val="94623232"/>
        <c:scaling>
          <c:orientation val="minMax"/>
        </c:scaling>
        <c:delete val="0"/>
        <c:axPos val="l"/>
        <c:majorGridlines/>
        <c:numFmt formatCode="0.00" sourceLinked="1"/>
        <c:majorTickMark val="out"/>
        <c:minorTickMark val="none"/>
        <c:tickLblPos val="nextTo"/>
        <c:crossAx val="9461286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residualplots!$E$99</c:f>
              <c:strCache>
                <c:ptCount val="1"/>
                <c:pt idx="0">
                  <c:v>residual</c:v>
                </c:pt>
              </c:strCache>
            </c:strRef>
          </c:tx>
          <c:spPr>
            <a:ln w="28575">
              <a:noFill/>
            </a:ln>
          </c:spPr>
          <c:xVal>
            <c:numRef>
              <c:f>residualplots!$B$100:$B$111</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residualplots!$E$100:$E$111</c:f>
              <c:numCache>
                <c:formatCode>"$"#,##0.00</c:formatCode>
                <c:ptCount val="12"/>
                <c:pt idx="0">
                  <c:v>27.124595413616248</c:v>
                </c:pt>
                <c:pt idx="1">
                  <c:v>11.303863622432885</c:v>
                </c:pt>
                <c:pt idx="2">
                  <c:v>-61.100907768507057</c:v>
                </c:pt>
                <c:pt idx="3">
                  <c:v>52.004538842535368</c:v>
                </c:pt>
                <c:pt idx="4">
                  <c:v>26.726235175132643</c:v>
                </c:pt>
                <c:pt idx="5">
                  <c:v>-1.5647364376663973</c:v>
                </c:pt>
                <c:pt idx="6">
                  <c:v>3.695812708460096</c:v>
                </c:pt>
                <c:pt idx="7">
                  <c:v>-12.407691887940217</c:v>
                </c:pt>
                <c:pt idx="8">
                  <c:v>-7.4512453785583119</c:v>
                </c:pt>
                <c:pt idx="9">
                  <c:v>3.3584517628380013</c:v>
                </c:pt>
                <c:pt idx="10">
                  <c:v>30.083877765203098</c:v>
                </c:pt>
                <c:pt idx="11">
                  <c:v>-71.772793817546301</c:v>
                </c:pt>
              </c:numCache>
            </c:numRef>
          </c:yVal>
          <c:smooth val="0"/>
        </c:ser>
        <c:dLbls>
          <c:showLegendKey val="0"/>
          <c:showVal val="0"/>
          <c:showCatName val="0"/>
          <c:showSerName val="0"/>
          <c:showPercent val="0"/>
          <c:showBubbleSize val="0"/>
        </c:dLbls>
        <c:axId val="94647040"/>
        <c:axId val="94648960"/>
      </c:scatterChart>
      <c:valAx>
        <c:axId val="94647040"/>
        <c:scaling>
          <c:orientation val="minMax"/>
        </c:scaling>
        <c:delete val="0"/>
        <c:axPos val="b"/>
        <c:title>
          <c:tx>
            <c:rich>
              <a:bodyPr/>
              <a:lstStyle/>
              <a:p>
                <a:pPr>
                  <a:defRPr/>
                </a:pPr>
                <a:r>
                  <a:rPr lang="en-US"/>
                  <a:t>distance (miles)</a:t>
                </a:r>
              </a:p>
            </c:rich>
          </c:tx>
          <c:overlay val="0"/>
        </c:title>
        <c:numFmt formatCode="General" sourceLinked="1"/>
        <c:majorTickMark val="out"/>
        <c:minorTickMark val="none"/>
        <c:tickLblPos val="nextTo"/>
        <c:crossAx val="94648960"/>
        <c:crosses val="autoZero"/>
        <c:crossBetween val="midCat"/>
      </c:valAx>
      <c:valAx>
        <c:axId val="94648960"/>
        <c:scaling>
          <c:orientation val="minMax"/>
        </c:scaling>
        <c:delete val="0"/>
        <c:axPos val="l"/>
        <c:majorGridlines/>
        <c:numFmt formatCode="&quot;$&quot;#,##0.00" sourceLinked="1"/>
        <c:majorTickMark val="out"/>
        <c:minorTickMark val="none"/>
        <c:tickLblPos val="nextTo"/>
        <c:crossAx val="94647040"/>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outliers_influential!$C$16</c:f>
              <c:strCache>
                <c:ptCount val="1"/>
                <c:pt idx="0">
                  <c:v>Airfare ($)</c:v>
                </c:pt>
              </c:strCache>
            </c:strRef>
          </c:tx>
          <c:spPr>
            <a:ln w="28575">
              <a:noFill/>
            </a:ln>
          </c:spPr>
          <c:trendline>
            <c:trendlineType val="linear"/>
            <c:dispRSqr val="1"/>
            <c:dispEq val="1"/>
            <c:trendlineLbl>
              <c:layout>
                <c:manualLayout>
                  <c:x val="0.4137248468941383"/>
                  <c:y val="-4.202573636628755E-2"/>
                </c:manualLayout>
              </c:layout>
              <c:numFmt formatCode="General" sourceLinked="0"/>
            </c:trendlineLbl>
          </c:trendline>
          <c:xVal>
            <c:numRef>
              <c:f>outliers_influential!$B$17:$B$28</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outliers_influential!$C$17:$C$28</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4695424"/>
        <c:axId val="94696960"/>
      </c:scatterChart>
      <c:valAx>
        <c:axId val="94695424"/>
        <c:scaling>
          <c:orientation val="minMax"/>
        </c:scaling>
        <c:delete val="0"/>
        <c:axPos val="b"/>
        <c:numFmt formatCode="General" sourceLinked="1"/>
        <c:majorTickMark val="out"/>
        <c:minorTickMark val="none"/>
        <c:tickLblPos val="nextTo"/>
        <c:crossAx val="94696960"/>
        <c:crosses val="autoZero"/>
        <c:crossBetween val="midCat"/>
      </c:valAx>
      <c:valAx>
        <c:axId val="94696960"/>
        <c:scaling>
          <c:orientation val="minMax"/>
        </c:scaling>
        <c:delete val="0"/>
        <c:axPos val="l"/>
        <c:majorGridlines/>
        <c:numFmt formatCode="&quot;$&quot;#,##0.00" sourceLinked="1"/>
        <c:majorTickMark val="out"/>
        <c:minorTickMark val="none"/>
        <c:tickLblPos val="nextTo"/>
        <c:crossAx val="94695424"/>
        <c:crosses val="autoZero"/>
        <c:crossBetween val="midCat"/>
      </c:valAx>
    </c:plotArea>
    <c:legend>
      <c:legendPos val="r"/>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residualplots!$E$99</c:f>
              <c:strCache>
                <c:ptCount val="1"/>
                <c:pt idx="0">
                  <c:v>residual</c:v>
                </c:pt>
              </c:strCache>
            </c:strRef>
          </c:tx>
          <c:spPr>
            <a:ln w="28575">
              <a:noFill/>
            </a:ln>
          </c:spPr>
          <c:xVal>
            <c:numRef>
              <c:f>residualplots!$D$100:$D$111</c:f>
              <c:numCache>
                <c:formatCode>_("$"* #,##0.00_);_("$"* \(#,##0.00\);_("$"* "-"??_);_(@_)</c:formatCode>
                <c:ptCount val="12"/>
                <c:pt idx="0">
                  <c:v>150.87540458638375</c:v>
                </c:pt>
                <c:pt idx="1">
                  <c:v>126.69613637756711</c:v>
                </c:pt>
                <c:pt idx="2">
                  <c:v>155.10090776850706</c:v>
                </c:pt>
                <c:pt idx="3">
                  <c:v>225.99546115746463</c:v>
                </c:pt>
                <c:pt idx="4">
                  <c:v>131.27376482486736</c:v>
                </c:pt>
                <c:pt idx="5">
                  <c:v>259.5647364376664</c:v>
                </c:pt>
                <c:pt idx="6">
                  <c:v>194.3041872915399</c:v>
                </c:pt>
                <c:pt idx="7">
                  <c:v>200.40769188794022</c:v>
                </c:pt>
                <c:pt idx="8">
                  <c:v>105.45124537855831</c:v>
                </c:pt>
                <c:pt idx="9">
                  <c:v>175.641548237162</c:v>
                </c:pt>
                <c:pt idx="10">
                  <c:v>107.9161222347969</c:v>
                </c:pt>
                <c:pt idx="11">
                  <c:v>169.7727938175463</c:v>
                </c:pt>
              </c:numCache>
            </c:numRef>
          </c:xVal>
          <c:yVal>
            <c:numRef>
              <c:f>residualplots!$E$100:$E$111</c:f>
              <c:numCache>
                <c:formatCode>"$"#,##0.00</c:formatCode>
                <c:ptCount val="12"/>
                <c:pt idx="0">
                  <c:v>27.124595413616248</c:v>
                </c:pt>
                <c:pt idx="1">
                  <c:v>11.303863622432885</c:v>
                </c:pt>
                <c:pt idx="2">
                  <c:v>-61.100907768507057</c:v>
                </c:pt>
                <c:pt idx="3">
                  <c:v>52.004538842535368</c:v>
                </c:pt>
                <c:pt idx="4">
                  <c:v>26.726235175132643</c:v>
                </c:pt>
                <c:pt idx="5">
                  <c:v>-1.5647364376663973</c:v>
                </c:pt>
                <c:pt idx="6">
                  <c:v>3.695812708460096</c:v>
                </c:pt>
                <c:pt idx="7">
                  <c:v>-12.407691887940217</c:v>
                </c:pt>
                <c:pt idx="8">
                  <c:v>-7.4512453785583119</c:v>
                </c:pt>
                <c:pt idx="9">
                  <c:v>3.3584517628380013</c:v>
                </c:pt>
                <c:pt idx="10">
                  <c:v>30.083877765203098</c:v>
                </c:pt>
                <c:pt idx="11">
                  <c:v>-71.772793817546301</c:v>
                </c:pt>
              </c:numCache>
            </c:numRef>
          </c:yVal>
          <c:smooth val="0"/>
        </c:ser>
        <c:dLbls>
          <c:showLegendKey val="0"/>
          <c:showVal val="0"/>
          <c:showCatName val="0"/>
          <c:showSerName val="0"/>
          <c:showPercent val="0"/>
          <c:showBubbleSize val="0"/>
        </c:dLbls>
        <c:axId val="94992256"/>
        <c:axId val="94994432"/>
      </c:scatterChart>
      <c:valAx>
        <c:axId val="94992256"/>
        <c:scaling>
          <c:orientation val="minMax"/>
        </c:scaling>
        <c:delete val="0"/>
        <c:axPos val="b"/>
        <c:title>
          <c:tx>
            <c:rich>
              <a:bodyPr/>
              <a:lstStyle/>
              <a:p>
                <a:pPr>
                  <a:defRPr/>
                </a:pPr>
                <a:r>
                  <a:rPr lang="en-US"/>
                  <a:t>predicted cost (yhat)</a:t>
                </a:r>
              </a:p>
            </c:rich>
          </c:tx>
          <c:overlay val="0"/>
        </c:title>
        <c:numFmt formatCode="_(&quot;$&quot;* #,##0.00_);_(&quot;$&quot;* \(#,##0.00\);_(&quot;$&quot;* &quot;-&quot;??_);_(@_)" sourceLinked="1"/>
        <c:majorTickMark val="out"/>
        <c:minorTickMark val="none"/>
        <c:tickLblPos val="nextTo"/>
        <c:crossAx val="94994432"/>
        <c:crosses val="autoZero"/>
        <c:crossBetween val="midCat"/>
      </c:valAx>
      <c:valAx>
        <c:axId val="94994432"/>
        <c:scaling>
          <c:orientation val="minMax"/>
        </c:scaling>
        <c:delete val="0"/>
        <c:axPos val="l"/>
        <c:majorGridlines/>
        <c:numFmt formatCode="&quot;$&quot;#,##0.00" sourceLinked="1"/>
        <c:majorTickMark val="out"/>
        <c:minorTickMark val="none"/>
        <c:tickLblPos val="nextTo"/>
        <c:crossAx val="94992256"/>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residualplots!$AG$14</c:f>
              <c:strCache>
                <c:ptCount val="1"/>
                <c:pt idx="0">
                  <c:v>norminv</c:v>
                </c:pt>
              </c:strCache>
            </c:strRef>
          </c:tx>
          <c:spPr>
            <a:ln w="28575">
              <a:noFill/>
            </a:ln>
          </c:spPr>
          <c:xVal>
            <c:numRef>
              <c:f>residualplots!$AE$15:$AE$26</c:f>
              <c:numCache>
                <c:formatCode>General</c:formatCode>
                <c:ptCount val="12"/>
                <c:pt idx="0">
                  <c:v>-0.5014333333333334</c:v>
                </c:pt>
                <c:pt idx="1">
                  <c:v>-0.30796666666666672</c:v>
                </c:pt>
                <c:pt idx="2">
                  <c:v>-0.20423333333333327</c:v>
                </c:pt>
                <c:pt idx="3">
                  <c:v>-0.17669999999999986</c:v>
                </c:pt>
                <c:pt idx="4">
                  <c:v>4.7666666666668078E-3</c:v>
                </c:pt>
                <c:pt idx="5">
                  <c:v>2.5566666666666293E-2</c:v>
                </c:pt>
                <c:pt idx="6">
                  <c:v>9.0766666666666662E-2</c:v>
                </c:pt>
                <c:pt idx="7">
                  <c:v>0.1080333333333332</c:v>
                </c:pt>
                <c:pt idx="8">
                  <c:v>0.2160333333333333</c:v>
                </c:pt>
                <c:pt idx="9">
                  <c:v>0.21830000000000016</c:v>
                </c:pt>
                <c:pt idx="10">
                  <c:v>0.25230000000000041</c:v>
                </c:pt>
                <c:pt idx="11">
                  <c:v>0.2745666666666664</c:v>
                </c:pt>
              </c:numCache>
            </c:numRef>
          </c:xVal>
          <c:yVal>
            <c:numRef>
              <c:f>residualplots!$AG$15:$AG$26</c:f>
              <c:numCache>
                <c:formatCode>General</c:formatCode>
                <c:ptCount val="12"/>
                <c:pt idx="0">
                  <c:v>-1.6350392668017106</c:v>
                </c:pt>
                <c:pt idx="1">
                  <c:v>-1.1139372153566887</c:v>
                </c:pt>
                <c:pt idx="2">
                  <c:v>-0.79163860774337469</c:v>
                </c:pt>
                <c:pt idx="3">
                  <c:v>-0.53617626636580651</c:v>
                </c:pt>
                <c:pt idx="4">
                  <c:v>-0.31191905482032528</c:v>
                </c:pt>
                <c:pt idx="5">
                  <c:v>-0.10249050769145145</c:v>
                </c:pt>
                <c:pt idx="6">
                  <c:v>0.10249050769145157</c:v>
                </c:pt>
                <c:pt idx="7">
                  <c:v>0.31191905482032528</c:v>
                </c:pt>
                <c:pt idx="8">
                  <c:v>0.53617626636580651</c:v>
                </c:pt>
                <c:pt idx="9">
                  <c:v>0.79163860774337469</c:v>
                </c:pt>
                <c:pt idx="10">
                  <c:v>1.1139372153566887</c:v>
                </c:pt>
                <c:pt idx="11">
                  <c:v>1.6350392668017109</c:v>
                </c:pt>
              </c:numCache>
            </c:numRef>
          </c:yVal>
          <c:smooth val="0"/>
        </c:ser>
        <c:dLbls>
          <c:showLegendKey val="0"/>
          <c:showVal val="0"/>
          <c:showCatName val="0"/>
          <c:showSerName val="0"/>
          <c:showPercent val="0"/>
          <c:showBubbleSize val="0"/>
        </c:dLbls>
        <c:axId val="95023488"/>
        <c:axId val="95025024"/>
      </c:scatterChart>
      <c:valAx>
        <c:axId val="95023488"/>
        <c:scaling>
          <c:orientation val="minMax"/>
        </c:scaling>
        <c:delete val="0"/>
        <c:axPos val="b"/>
        <c:numFmt formatCode="General" sourceLinked="1"/>
        <c:majorTickMark val="out"/>
        <c:minorTickMark val="none"/>
        <c:tickLblPos val="nextTo"/>
        <c:crossAx val="95025024"/>
        <c:crosses val="autoZero"/>
        <c:crossBetween val="midCat"/>
      </c:valAx>
      <c:valAx>
        <c:axId val="95025024"/>
        <c:scaling>
          <c:orientation val="minMax"/>
        </c:scaling>
        <c:delete val="0"/>
        <c:axPos val="l"/>
        <c:majorGridlines/>
        <c:numFmt formatCode="General" sourceLinked="1"/>
        <c:majorTickMark val="out"/>
        <c:minorTickMark val="none"/>
        <c:tickLblPos val="nextTo"/>
        <c:crossAx val="95023488"/>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residualplots!$AG$32</c:f>
              <c:strCache>
                <c:ptCount val="1"/>
                <c:pt idx="0">
                  <c:v>norminv</c:v>
                </c:pt>
              </c:strCache>
            </c:strRef>
          </c:tx>
          <c:spPr>
            <a:ln w="28575">
              <a:noFill/>
            </a:ln>
          </c:spPr>
          <c:xVal>
            <c:numRef>
              <c:f>residualplots!$AE$33:$AE$62</c:f>
              <c:numCache>
                <c:formatCode>General</c:formatCode>
                <c:ptCount val="30"/>
                <c:pt idx="0">
                  <c:v>-2.9059622443174629</c:v>
                </c:pt>
                <c:pt idx="1">
                  <c:v>-2.803683702014176</c:v>
                </c:pt>
                <c:pt idx="2">
                  <c:v>-2.2841215261504804</c:v>
                </c:pt>
                <c:pt idx="3">
                  <c:v>-2.0653145914462687</c:v>
                </c:pt>
                <c:pt idx="4">
                  <c:v>-1.998043155061346</c:v>
                </c:pt>
                <c:pt idx="5">
                  <c:v>-1.2223241953369151</c:v>
                </c:pt>
                <c:pt idx="6">
                  <c:v>-1.2160349134175341</c:v>
                </c:pt>
                <c:pt idx="7">
                  <c:v>-1.1959683483435022</c:v>
                </c:pt>
                <c:pt idx="8">
                  <c:v>-1.0313144845089628</c:v>
                </c:pt>
                <c:pt idx="9">
                  <c:v>-0.92669032564366738</c:v>
                </c:pt>
                <c:pt idx="10">
                  <c:v>-0.62369648292092705</c:v>
                </c:pt>
                <c:pt idx="11">
                  <c:v>-0.2617824062896652</c:v>
                </c:pt>
                <c:pt idx="12">
                  <c:v>-0.21956898403323422</c:v>
                </c:pt>
                <c:pt idx="13">
                  <c:v>-0.1967400280433651</c:v>
                </c:pt>
                <c:pt idx="14">
                  <c:v>-0.14711269556607753</c:v>
                </c:pt>
                <c:pt idx="15">
                  <c:v>-3.033764634288616E-3</c:v>
                </c:pt>
                <c:pt idx="16">
                  <c:v>0.39126809130732454</c:v>
                </c:pt>
                <c:pt idx="17">
                  <c:v>0.43198666875813529</c:v>
                </c:pt>
                <c:pt idx="18">
                  <c:v>0.4667799036842819</c:v>
                </c:pt>
                <c:pt idx="19">
                  <c:v>0.55799601687953704</c:v>
                </c:pt>
                <c:pt idx="20">
                  <c:v>0.70005711702555473</c:v>
                </c:pt>
                <c:pt idx="21">
                  <c:v>0.82813073077145027</c:v>
                </c:pt>
                <c:pt idx="22">
                  <c:v>1.0337666371554768</c:v>
                </c:pt>
                <c:pt idx="23">
                  <c:v>1.0381961227634307</c:v>
                </c:pt>
                <c:pt idx="24">
                  <c:v>1.1342234364114532</c:v>
                </c:pt>
                <c:pt idx="25">
                  <c:v>2.0438204413135921</c:v>
                </c:pt>
                <c:pt idx="26">
                  <c:v>2.1973738297725625</c:v>
                </c:pt>
                <c:pt idx="27">
                  <c:v>2.2185217257408372</c:v>
                </c:pt>
                <c:pt idx="28">
                  <c:v>2.8632745339513441</c:v>
                </c:pt>
                <c:pt idx="29">
                  <c:v>3.1959965921928841</c:v>
                </c:pt>
              </c:numCache>
            </c:numRef>
          </c:xVal>
          <c:yVal>
            <c:numRef>
              <c:f>residualplots!$AG$33:$AG$62</c:f>
              <c:numCache>
                <c:formatCode>General</c:formatCode>
                <c:ptCount val="30"/>
                <c:pt idx="0">
                  <c:v>-2.040281322010411</c:v>
                </c:pt>
                <c:pt idx="1">
                  <c:v>-1.6098160671844481</c:v>
                </c:pt>
                <c:pt idx="2">
                  <c:v>-1.3608733428671878</c:v>
                </c:pt>
                <c:pt idx="3">
                  <c:v>-1.1758134725500293</c:v>
                </c:pt>
                <c:pt idx="4">
                  <c:v>-1.0241061837416221</c:v>
                </c:pt>
                <c:pt idx="5">
                  <c:v>-0.89291848644439564</c:v>
                </c:pt>
                <c:pt idx="6">
                  <c:v>-0.77554695832237774</c:v>
                </c:pt>
                <c:pt idx="7">
                  <c:v>-0.66800213226957372</c:v>
                </c:pt>
                <c:pt idx="8">
                  <c:v>-0.56768639112746011</c:v>
                </c:pt>
                <c:pt idx="9">
                  <c:v>-0.47278912099226744</c:v>
                </c:pt>
                <c:pt idx="10">
                  <c:v>-0.38197576769654212</c:v>
                </c:pt>
                <c:pt idx="11">
                  <c:v>-0.29421313893092133</c:v>
                </c:pt>
                <c:pt idx="12">
                  <c:v>-0.20866374575115462</c:v>
                </c:pt>
                <c:pt idx="13">
                  <c:v>-0.12461740794799793</c:v>
                </c:pt>
                <c:pt idx="14">
                  <c:v>-4.1443733093996599E-2</c:v>
                </c:pt>
                <c:pt idx="15">
                  <c:v>4.1443733093996467E-2</c:v>
                </c:pt>
                <c:pt idx="16">
                  <c:v>0.12461740794799776</c:v>
                </c:pt>
                <c:pt idx="17">
                  <c:v>0.20866374575115446</c:v>
                </c:pt>
                <c:pt idx="18">
                  <c:v>0.29421313893092121</c:v>
                </c:pt>
                <c:pt idx="19">
                  <c:v>0.38197576769654196</c:v>
                </c:pt>
                <c:pt idx="20">
                  <c:v>0.47278912099226728</c:v>
                </c:pt>
                <c:pt idx="21">
                  <c:v>0.56768639112745989</c:v>
                </c:pt>
                <c:pt idx="22">
                  <c:v>0.6680021322695735</c:v>
                </c:pt>
                <c:pt idx="23">
                  <c:v>0.77554695832237797</c:v>
                </c:pt>
                <c:pt idx="24">
                  <c:v>0.89291848644439464</c:v>
                </c:pt>
                <c:pt idx="25">
                  <c:v>1.0241061837416219</c:v>
                </c:pt>
                <c:pt idx="26">
                  <c:v>1.1758134725500289</c:v>
                </c:pt>
                <c:pt idx="27">
                  <c:v>1.3608733428671862</c:v>
                </c:pt>
                <c:pt idx="28">
                  <c:v>1.6098160671844477</c:v>
                </c:pt>
                <c:pt idx="29">
                  <c:v>2.0402813220104106</c:v>
                </c:pt>
              </c:numCache>
            </c:numRef>
          </c:yVal>
          <c:smooth val="0"/>
        </c:ser>
        <c:dLbls>
          <c:showLegendKey val="0"/>
          <c:showVal val="0"/>
          <c:showCatName val="0"/>
          <c:showSerName val="0"/>
          <c:showPercent val="0"/>
          <c:showBubbleSize val="0"/>
        </c:dLbls>
        <c:axId val="95066368"/>
        <c:axId val="95068160"/>
      </c:scatterChart>
      <c:valAx>
        <c:axId val="95066368"/>
        <c:scaling>
          <c:orientation val="minMax"/>
        </c:scaling>
        <c:delete val="0"/>
        <c:axPos val="b"/>
        <c:numFmt formatCode="General" sourceLinked="1"/>
        <c:majorTickMark val="out"/>
        <c:minorTickMark val="none"/>
        <c:tickLblPos val="nextTo"/>
        <c:crossAx val="95068160"/>
        <c:crosses val="autoZero"/>
        <c:crossBetween val="midCat"/>
      </c:valAx>
      <c:valAx>
        <c:axId val="95068160"/>
        <c:scaling>
          <c:orientation val="minMax"/>
        </c:scaling>
        <c:delete val="0"/>
        <c:axPos val="l"/>
        <c:majorGridlines/>
        <c:numFmt formatCode="General" sourceLinked="1"/>
        <c:majorTickMark val="out"/>
        <c:minorTickMark val="none"/>
        <c:tickLblPos val="nextTo"/>
        <c:crossAx val="95066368"/>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residualplots!$AG$98</c:f>
              <c:strCache>
                <c:ptCount val="1"/>
                <c:pt idx="0">
                  <c:v>norminv</c:v>
                </c:pt>
              </c:strCache>
            </c:strRef>
          </c:tx>
          <c:spPr>
            <a:ln w="28575">
              <a:noFill/>
            </a:ln>
          </c:spPr>
          <c:xVal>
            <c:numRef>
              <c:f>residualplots!$AE$99:$AE$110</c:f>
              <c:numCache>
                <c:formatCode>General</c:formatCode>
                <c:ptCount val="12"/>
                <c:pt idx="0">
                  <c:v>-71.772793817546301</c:v>
                </c:pt>
                <c:pt idx="1">
                  <c:v>-61.100907768507057</c:v>
                </c:pt>
                <c:pt idx="2">
                  <c:v>-12.407691887940217</c:v>
                </c:pt>
                <c:pt idx="3">
                  <c:v>-7.4512453785583119</c:v>
                </c:pt>
                <c:pt idx="4">
                  <c:v>-1.5647364376663973</c:v>
                </c:pt>
                <c:pt idx="5">
                  <c:v>3.3584517628380013</c:v>
                </c:pt>
                <c:pt idx="6">
                  <c:v>3.695812708460096</c:v>
                </c:pt>
                <c:pt idx="7">
                  <c:v>11.303863622432885</c:v>
                </c:pt>
                <c:pt idx="8">
                  <c:v>26.726235175132643</c:v>
                </c:pt>
                <c:pt idx="9">
                  <c:v>27.124595413616248</c:v>
                </c:pt>
                <c:pt idx="10">
                  <c:v>30.083877765203098</c:v>
                </c:pt>
                <c:pt idx="11">
                  <c:v>52.004538842535368</c:v>
                </c:pt>
              </c:numCache>
            </c:numRef>
          </c:xVal>
          <c:yVal>
            <c:numRef>
              <c:f>residualplots!$AG$99:$AG$110</c:f>
              <c:numCache>
                <c:formatCode>General</c:formatCode>
                <c:ptCount val="12"/>
                <c:pt idx="0">
                  <c:v>-1.6350392668017106</c:v>
                </c:pt>
                <c:pt idx="1">
                  <c:v>-1.1139372153566887</c:v>
                </c:pt>
                <c:pt idx="2">
                  <c:v>-0.79163860774337469</c:v>
                </c:pt>
                <c:pt idx="3">
                  <c:v>-0.53617626636580651</c:v>
                </c:pt>
                <c:pt idx="4">
                  <c:v>-0.31191905482032528</c:v>
                </c:pt>
                <c:pt idx="5">
                  <c:v>-0.10249050769145145</c:v>
                </c:pt>
                <c:pt idx="6">
                  <c:v>0.10249050769145157</c:v>
                </c:pt>
                <c:pt idx="7">
                  <c:v>0.31191905482032528</c:v>
                </c:pt>
                <c:pt idx="8">
                  <c:v>0.53617626636580651</c:v>
                </c:pt>
                <c:pt idx="9">
                  <c:v>0.79163860774337469</c:v>
                </c:pt>
                <c:pt idx="10">
                  <c:v>1.1139372153566887</c:v>
                </c:pt>
                <c:pt idx="11">
                  <c:v>1.6350392668017109</c:v>
                </c:pt>
              </c:numCache>
            </c:numRef>
          </c:yVal>
          <c:smooth val="0"/>
        </c:ser>
        <c:dLbls>
          <c:showLegendKey val="0"/>
          <c:showVal val="0"/>
          <c:showCatName val="0"/>
          <c:showSerName val="0"/>
          <c:showPercent val="0"/>
          <c:showBubbleSize val="0"/>
        </c:dLbls>
        <c:axId val="93913472"/>
        <c:axId val="93915008"/>
      </c:scatterChart>
      <c:valAx>
        <c:axId val="93913472"/>
        <c:scaling>
          <c:orientation val="minMax"/>
        </c:scaling>
        <c:delete val="0"/>
        <c:axPos val="b"/>
        <c:numFmt formatCode="General" sourceLinked="1"/>
        <c:majorTickMark val="out"/>
        <c:minorTickMark val="none"/>
        <c:tickLblPos val="nextTo"/>
        <c:crossAx val="93915008"/>
        <c:crosses val="autoZero"/>
        <c:crossBetween val="midCat"/>
      </c:valAx>
      <c:valAx>
        <c:axId val="93915008"/>
        <c:scaling>
          <c:orientation val="minMax"/>
        </c:scaling>
        <c:delete val="0"/>
        <c:axPos val="l"/>
        <c:majorGridlines/>
        <c:numFmt formatCode="General" sourceLinked="1"/>
        <c:majorTickMark val="out"/>
        <c:minorTickMark val="none"/>
        <c:tickLblPos val="nextTo"/>
        <c:crossAx val="93913472"/>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residualplots!$AG$69</c:f>
              <c:strCache>
                <c:ptCount val="1"/>
                <c:pt idx="0">
                  <c:v>norminv</c:v>
                </c:pt>
              </c:strCache>
            </c:strRef>
          </c:tx>
          <c:spPr>
            <a:ln w="28575">
              <a:noFill/>
            </a:ln>
          </c:spPr>
          <c:xVal>
            <c:numRef>
              <c:f>residualplots!$AE$70:$AE$90</c:f>
              <c:numCache>
                <c:formatCode>General</c:formatCode>
                <c:ptCount val="21"/>
                <c:pt idx="0">
                  <c:v>-9742746.5688311458</c:v>
                </c:pt>
                <c:pt idx="1">
                  <c:v>-3404065.8870129585</c:v>
                </c:pt>
                <c:pt idx="2">
                  <c:v>-2166273.6415584087</c:v>
                </c:pt>
                <c:pt idx="3">
                  <c:v>-1980822.323376596</c:v>
                </c:pt>
                <c:pt idx="4">
                  <c:v>-916151.03246751428</c:v>
                </c:pt>
                <c:pt idx="5">
                  <c:v>-861566.42337661982</c:v>
                </c:pt>
                <c:pt idx="6">
                  <c:v>-774373.93246752024</c:v>
                </c:pt>
                <c:pt idx="7">
                  <c:v>-377551.46883115172</c:v>
                </c:pt>
                <c:pt idx="8">
                  <c:v>-228072.39610388875</c:v>
                </c:pt>
                <c:pt idx="9">
                  <c:v>-150916.10519477725</c:v>
                </c:pt>
                <c:pt idx="10">
                  <c:v>18464.285714298487</c:v>
                </c:pt>
                <c:pt idx="11">
                  <c:v>166141.99480521679</c:v>
                </c:pt>
                <c:pt idx="12">
                  <c:v>344408.21298703551</c:v>
                </c:pt>
                <c:pt idx="13">
                  <c:v>528261.14025977254</c:v>
                </c:pt>
                <c:pt idx="14">
                  <c:v>1065994.0402597785</c:v>
                </c:pt>
                <c:pt idx="15">
                  <c:v>1143508.4584415853</c:v>
                </c:pt>
                <c:pt idx="16">
                  <c:v>1429701.82207793</c:v>
                </c:pt>
                <c:pt idx="17">
                  <c:v>1767176.749350667</c:v>
                </c:pt>
                <c:pt idx="18">
                  <c:v>1820363.9220779538</c:v>
                </c:pt>
                <c:pt idx="19">
                  <c:v>5771210.6493506432</c:v>
                </c:pt>
                <c:pt idx="20">
                  <c:v>6547308.5038961172</c:v>
                </c:pt>
              </c:numCache>
            </c:numRef>
          </c:xVal>
          <c:yVal>
            <c:numRef>
              <c:f>residualplots!$AG$70:$AG$90</c:f>
              <c:numCache>
                <c:formatCode>General</c:formatCode>
                <c:ptCount val="21"/>
                <c:pt idx="0">
                  <c:v>-1.8895099603334302</c:v>
                </c:pt>
                <c:pt idx="1">
                  <c:v>-1.4292194242710623</c:v>
                </c:pt>
                <c:pt idx="2">
                  <c:v>-1.1575228149633465</c:v>
                </c:pt>
                <c:pt idx="3">
                  <c:v>-0.9518432764036362</c:v>
                </c:pt>
                <c:pt idx="4">
                  <c:v>-0.78016439360297296</c:v>
                </c:pt>
                <c:pt idx="5">
                  <c:v>-0.62890421763218984</c:v>
                </c:pt>
                <c:pt idx="6">
                  <c:v>-0.49085442701124643</c:v>
                </c:pt>
                <c:pt idx="7">
                  <c:v>-0.36160522598516831</c:v>
                </c:pt>
                <c:pt idx="8">
                  <c:v>-0.2381500642297697</c:v>
                </c:pt>
                <c:pt idx="9">
                  <c:v>-0.11823387106613359</c:v>
                </c:pt>
                <c:pt idx="10">
                  <c:v>0</c:v>
                </c:pt>
                <c:pt idx="11">
                  <c:v>0.11823387106613373</c:v>
                </c:pt>
                <c:pt idx="12">
                  <c:v>0.2381500642297697</c:v>
                </c:pt>
                <c:pt idx="13">
                  <c:v>0.36160522598516848</c:v>
                </c:pt>
                <c:pt idx="14">
                  <c:v>0.49085442701124643</c:v>
                </c:pt>
                <c:pt idx="15">
                  <c:v>0.62890421763218995</c:v>
                </c:pt>
                <c:pt idx="16">
                  <c:v>0.78016439360297296</c:v>
                </c:pt>
                <c:pt idx="17">
                  <c:v>0.95184327640363531</c:v>
                </c:pt>
                <c:pt idx="18">
                  <c:v>1.1575228149633465</c:v>
                </c:pt>
                <c:pt idx="19">
                  <c:v>1.4292194242710625</c:v>
                </c:pt>
                <c:pt idx="20">
                  <c:v>1.8895099603334296</c:v>
                </c:pt>
              </c:numCache>
            </c:numRef>
          </c:yVal>
          <c:smooth val="0"/>
        </c:ser>
        <c:dLbls>
          <c:showLegendKey val="0"/>
          <c:showVal val="0"/>
          <c:showCatName val="0"/>
          <c:showSerName val="0"/>
          <c:showPercent val="0"/>
          <c:showBubbleSize val="0"/>
        </c:dLbls>
        <c:axId val="93932544"/>
        <c:axId val="93934336"/>
      </c:scatterChart>
      <c:valAx>
        <c:axId val="93932544"/>
        <c:scaling>
          <c:orientation val="minMax"/>
        </c:scaling>
        <c:delete val="0"/>
        <c:axPos val="b"/>
        <c:numFmt formatCode="General" sourceLinked="1"/>
        <c:majorTickMark val="out"/>
        <c:minorTickMark val="none"/>
        <c:tickLblPos val="nextTo"/>
        <c:crossAx val="93934336"/>
        <c:crosses val="autoZero"/>
        <c:crossBetween val="midCat"/>
      </c:valAx>
      <c:valAx>
        <c:axId val="93934336"/>
        <c:scaling>
          <c:orientation val="minMax"/>
        </c:scaling>
        <c:delete val="0"/>
        <c:axPos val="l"/>
        <c:majorGridlines/>
        <c:numFmt formatCode="General" sourceLinked="1"/>
        <c:majorTickMark val="out"/>
        <c:minorTickMark val="none"/>
        <c:tickLblPos val="nextTo"/>
        <c:crossAx val="93932544"/>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whygraphresiduals!$B$10</c:f>
              <c:strCache>
                <c:ptCount val="1"/>
                <c:pt idx="0">
                  <c:v>deflection</c:v>
                </c:pt>
              </c:strCache>
            </c:strRef>
          </c:tx>
          <c:spPr>
            <a:ln w="28575">
              <a:noFill/>
            </a:ln>
          </c:spPr>
          <c:trendline>
            <c:trendlineType val="linear"/>
            <c:dispRSqr val="1"/>
            <c:dispEq val="1"/>
            <c:trendlineLbl>
              <c:layout>
                <c:manualLayout>
                  <c:x val="0.40164545056867879"/>
                  <c:y val="-0.15313684747739886"/>
                </c:manualLayout>
              </c:layout>
              <c:numFmt formatCode="General" sourceLinked="0"/>
            </c:trendlineLbl>
          </c:trendline>
          <c:xVal>
            <c:numRef>
              <c:f>whygraphresiduals!$A$11:$A$50</c:f>
              <c:numCache>
                <c:formatCode>General</c:formatCode>
                <c:ptCount val="40"/>
                <c:pt idx="0">
                  <c:v>150000</c:v>
                </c:pt>
                <c:pt idx="1">
                  <c:v>300000</c:v>
                </c:pt>
                <c:pt idx="2">
                  <c:v>450000</c:v>
                </c:pt>
                <c:pt idx="3">
                  <c:v>600000</c:v>
                </c:pt>
                <c:pt idx="4">
                  <c:v>750000</c:v>
                </c:pt>
                <c:pt idx="5">
                  <c:v>900000</c:v>
                </c:pt>
                <c:pt idx="6">
                  <c:v>1050000</c:v>
                </c:pt>
                <c:pt idx="7">
                  <c:v>1200000</c:v>
                </c:pt>
                <c:pt idx="8">
                  <c:v>1350000</c:v>
                </c:pt>
                <c:pt idx="9">
                  <c:v>1500000</c:v>
                </c:pt>
                <c:pt idx="10">
                  <c:v>1650000</c:v>
                </c:pt>
                <c:pt idx="11">
                  <c:v>1800000</c:v>
                </c:pt>
                <c:pt idx="12">
                  <c:v>1950000</c:v>
                </c:pt>
                <c:pt idx="13">
                  <c:v>2100000</c:v>
                </c:pt>
                <c:pt idx="14">
                  <c:v>2250000</c:v>
                </c:pt>
                <c:pt idx="15">
                  <c:v>2400000</c:v>
                </c:pt>
                <c:pt idx="16">
                  <c:v>2550000</c:v>
                </c:pt>
                <c:pt idx="17">
                  <c:v>2700000</c:v>
                </c:pt>
                <c:pt idx="18">
                  <c:v>2850000</c:v>
                </c:pt>
                <c:pt idx="19">
                  <c:v>3000000</c:v>
                </c:pt>
                <c:pt idx="20">
                  <c:v>150000</c:v>
                </c:pt>
                <c:pt idx="21">
                  <c:v>300000</c:v>
                </c:pt>
                <c:pt idx="22">
                  <c:v>450000</c:v>
                </c:pt>
                <c:pt idx="23">
                  <c:v>600000</c:v>
                </c:pt>
                <c:pt idx="24">
                  <c:v>750000</c:v>
                </c:pt>
                <c:pt idx="25">
                  <c:v>900000</c:v>
                </c:pt>
                <c:pt idx="26">
                  <c:v>1050000</c:v>
                </c:pt>
                <c:pt idx="27">
                  <c:v>1200000</c:v>
                </c:pt>
                <c:pt idx="28">
                  <c:v>1350000</c:v>
                </c:pt>
                <c:pt idx="29">
                  <c:v>1500000</c:v>
                </c:pt>
                <c:pt idx="30">
                  <c:v>1650000</c:v>
                </c:pt>
                <c:pt idx="31">
                  <c:v>1800000</c:v>
                </c:pt>
                <c:pt idx="32">
                  <c:v>1950000</c:v>
                </c:pt>
                <c:pt idx="33">
                  <c:v>2100000</c:v>
                </c:pt>
                <c:pt idx="34">
                  <c:v>2250000</c:v>
                </c:pt>
                <c:pt idx="35">
                  <c:v>2400000</c:v>
                </c:pt>
                <c:pt idx="36">
                  <c:v>2550000</c:v>
                </c:pt>
                <c:pt idx="37">
                  <c:v>2700000</c:v>
                </c:pt>
                <c:pt idx="38">
                  <c:v>2850000</c:v>
                </c:pt>
                <c:pt idx="39">
                  <c:v>3000000</c:v>
                </c:pt>
              </c:numCache>
            </c:numRef>
          </c:xVal>
          <c:yVal>
            <c:numRef>
              <c:f>whygraphresiduals!$B$11:$B$50</c:f>
              <c:numCache>
                <c:formatCode>General</c:formatCode>
                <c:ptCount val="40"/>
                <c:pt idx="0">
                  <c:v>0.11019</c:v>
                </c:pt>
                <c:pt idx="1">
                  <c:v>0.21956000000000001</c:v>
                </c:pt>
                <c:pt idx="2">
                  <c:v>0.32949000000000001</c:v>
                </c:pt>
                <c:pt idx="3">
                  <c:v>0.43898999999999999</c:v>
                </c:pt>
                <c:pt idx="4">
                  <c:v>0.54803000000000002</c:v>
                </c:pt>
                <c:pt idx="5">
                  <c:v>0.65693999999999997</c:v>
                </c:pt>
                <c:pt idx="6">
                  <c:v>0.76561999999999997</c:v>
                </c:pt>
                <c:pt idx="7">
                  <c:v>0.87487000000000004</c:v>
                </c:pt>
                <c:pt idx="8">
                  <c:v>0.98292000000000002</c:v>
                </c:pt>
                <c:pt idx="9">
                  <c:v>1.0914600000000001</c:v>
                </c:pt>
                <c:pt idx="10">
                  <c:v>1.20001</c:v>
                </c:pt>
                <c:pt idx="11">
                  <c:v>1.3082199999999999</c:v>
                </c:pt>
                <c:pt idx="12">
                  <c:v>1.4159900000000001</c:v>
                </c:pt>
                <c:pt idx="13">
                  <c:v>1.52399</c:v>
                </c:pt>
                <c:pt idx="14">
                  <c:v>1.6319399999999999</c:v>
                </c:pt>
                <c:pt idx="15">
                  <c:v>1.7394700000000001</c:v>
                </c:pt>
                <c:pt idx="16">
                  <c:v>1.84646</c:v>
                </c:pt>
                <c:pt idx="17">
                  <c:v>1.9539200000000001</c:v>
                </c:pt>
                <c:pt idx="18">
                  <c:v>2.06128</c:v>
                </c:pt>
                <c:pt idx="19">
                  <c:v>2.1684399999999999</c:v>
                </c:pt>
                <c:pt idx="20">
                  <c:v>0.11051999999999999</c:v>
                </c:pt>
                <c:pt idx="21">
                  <c:v>0.22017999999999999</c:v>
                </c:pt>
                <c:pt idx="22">
                  <c:v>0.32939000000000002</c:v>
                </c:pt>
                <c:pt idx="23">
                  <c:v>0.43885999999999997</c:v>
                </c:pt>
                <c:pt idx="24">
                  <c:v>0.54798000000000002</c:v>
                </c:pt>
                <c:pt idx="25">
                  <c:v>0.65739000000000003</c:v>
                </c:pt>
                <c:pt idx="26">
                  <c:v>0.76595999999999997</c:v>
                </c:pt>
                <c:pt idx="27">
                  <c:v>0.87473999999999996</c:v>
                </c:pt>
                <c:pt idx="28">
                  <c:v>0.98299999999999998</c:v>
                </c:pt>
                <c:pt idx="29">
                  <c:v>1.0914999999999999</c:v>
                </c:pt>
                <c:pt idx="30">
                  <c:v>1.20004</c:v>
                </c:pt>
                <c:pt idx="31">
                  <c:v>1.3081799999999999</c:v>
                </c:pt>
                <c:pt idx="32">
                  <c:v>1.4161300000000001</c:v>
                </c:pt>
                <c:pt idx="33">
                  <c:v>1.5240800000000001</c:v>
                </c:pt>
                <c:pt idx="34">
                  <c:v>1.6315900000000001</c:v>
                </c:pt>
                <c:pt idx="35">
                  <c:v>1.7396499999999999</c:v>
                </c:pt>
                <c:pt idx="36">
                  <c:v>1.8469599999999999</c:v>
                </c:pt>
                <c:pt idx="37">
                  <c:v>1.95445</c:v>
                </c:pt>
                <c:pt idx="38">
                  <c:v>2.0617700000000001</c:v>
                </c:pt>
                <c:pt idx="39">
                  <c:v>2.1682899999999998</c:v>
                </c:pt>
              </c:numCache>
            </c:numRef>
          </c:yVal>
          <c:smooth val="0"/>
        </c:ser>
        <c:dLbls>
          <c:showLegendKey val="0"/>
          <c:showVal val="0"/>
          <c:showCatName val="0"/>
          <c:showSerName val="0"/>
          <c:showPercent val="0"/>
          <c:showBubbleSize val="0"/>
        </c:dLbls>
        <c:axId val="95103232"/>
        <c:axId val="95113216"/>
      </c:scatterChart>
      <c:valAx>
        <c:axId val="95103232"/>
        <c:scaling>
          <c:orientation val="minMax"/>
        </c:scaling>
        <c:delete val="0"/>
        <c:axPos val="b"/>
        <c:numFmt formatCode="General" sourceLinked="1"/>
        <c:majorTickMark val="out"/>
        <c:minorTickMark val="none"/>
        <c:tickLblPos val="nextTo"/>
        <c:crossAx val="95113216"/>
        <c:crosses val="autoZero"/>
        <c:crossBetween val="midCat"/>
      </c:valAx>
      <c:valAx>
        <c:axId val="95113216"/>
        <c:scaling>
          <c:orientation val="minMax"/>
        </c:scaling>
        <c:delete val="0"/>
        <c:axPos val="l"/>
        <c:majorGridlines/>
        <c:numFmt formatCode="General" sourceLinked="1"/>
        <c:majorTickMark val="out"/>
        <c:minorTickMark val="none"/>
        <c:tickLblPos val="nextTo"/>
        <c:crossAx val="95103232"/>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Intercepts</a:t>
            </a:r>
            <a:r>
              <a:rPr lang="en-US" baseline="0"/>
              <a:t> of Least-Squares line, and true intercept of underlying model</a:t>
            </a:r>
            <a:endParaRPr lang="en-US"/>
          </a:p>
        </c:rich>
      </c:tx>
      <c:overlay val="0"/>
    </c:title>
    <c:autoTitleDeleted val="0"/>
    <c:plotArea>
      <c:layout/>
      <c:scatterChart>
        <c:scatterStyle val="lineMarker"/>
        <c:varyColors val="0"/>
        <c:ser>
          <c:idx val="0"/>
          <c:order val="0"/>
          <c:tx>
            <c:v>estimated values</c:v>
          </c:tx>
          <c:spPr>
            <a:ln w="28575">
              <a:noFill/>
            </a:ln>
          </c:spPr>
          <c:xVal>
            <c:numRef>
              <c:f>estimators!$C$50:$AF$50</c:f>
              <c:numCache>
                <c:formatCode>General</c:formatCode>
                <c:ptCount val="30"/>
                <c:pt idx="0">
                  <c:v>2.2957456213812395</c:v>
                </c:pt>
                <c:pt idx="1">
                  <c:v>2.0264840410751876</c:v>
                </c:pt>
                <c:pt idx="2">
                  <c:v>2.2540791855720492</c:v>
                </c:pt>
                <c:pt idx="3">
                  <c:v>1.8613161944870655</c:v>
                </c:pt>
                <c:pt idx="4">
                  <c:v>2.1965399540585295</c:v>
                </c:pt>
                <c:pt idx="5">
                  <c:v>2.0944454182336534</c:v>
                </c:pt>
                <c:pt idx="6">
                  <c:v>2.2068970824489238</c:v>
                </c:pt>
                <c:pt idx="7">
                  <c:v>2.3101132732419489</c:v>
                </c:pt>
                <c:pt idx="8">
                  <c:v>2.0547184084370933</c:v>
                </c:pt>
                <c:pt idx="9">
                  <c:v>2.0844826946153883</c:v>
                </c:pt>
                <c:pt idx="10">
                  <c:v>2.388796799326764</c:v>
                </c:pt>
                <c:pt idx="11">
                  <c:v>1.9111339594364816</c:v>
                </c:pt>
                <c:pt idx="12">
                  <c:v>2.1198902908096935</c:v>
                </c:pt>
                <c:pt idx="13">
                  <c:v>1.8257701551695944</c:v>
                </c:pt>
                <c:pt idx="14">
                  <c:v>2.1446757440180875</c:v>
                </c:pt>
                <c:pt idx="15">
                  <c:v>2.074967788578999</c:v>
                </c:pt>
                <c:pt idx="16">
                  <c:v>1.8627931206867321</c:v>
                </c:pt>
                <c:pt idx="17">
                  <c:v>1.8170095192769717</c:v>
                </c:pt>
                <c:pt idx="18">
                  <c:v>2.0280692643004241</c:v>
                </c:pt>
                <c:pt idx="19">
                  <c:v>2.0830204514427018</c:v>
                </c:pt>
                <c:pt idx="20">
                  <c:v>2.1558535960229568</c:v>
                </c:pt>
                <c:pt idx="21">
                  <c:v>2.0775674240328361</c:v>
                </c:pt>
                <c:pt idx="22">
                  <c:v>2.2779423890032517</c:v>
                </c:pt>
                <c:pt idx="23">
                  <c:v>2.20858016843101</c:v>
                </c:pt>
                <c:pt idx="24">
                  <c:v>1.7463266726350608</c:v>
                </c:pt>
                <c:pt idx="25">
                  <c:v>1.594770364999428</c:v>
                </c:pt>
                <c:pt idx="26">
                  <c:v>2.1180333941236458</c:v>
                </c:pt>
                <c:pt idx="27">
                  <c:v>1.9444172594462095</c:v>
                </c:pt>
                <c:pt idx="28">
                  <c:v>2.0214775304480459</c:v>
                </c:pt>
                <c:pt idx="29">
                  <c:v>1.7079506695624402</c:v>
                </c:pt>
              </c:numCache>
            </c:numRef>
          </c:xVal>
          <c:yVal>
            <c:numRef>
              <c:f>estimators!$C$82:$AF$82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yVal>
          <c:smooth val="0"/>
        </c:ser>
        <c:ser>
          <c:idx val="1"/>
          <c:order val="1"/>
          <c:tx>
            <c:v>true value</c:v>
          </c:tx>
          <c:spPr>
            <a:ln w="28575">
              <a:noFill/>
            </a:ln>
          </c:spPr>
          <c:xVal>
            <c:numRef>
              <c:f>estimators!$C$28</c:f>
              <c:numCache>
                <c:formatCode>General</c:formatCode>
                <c:ptCount val="1"/>
                <c:pt idx="0">
                  <c:v>2</c:v>
                </c:pt>
              </c:numCache>
            </c:numRef>
          </c:xVal>
          <c:yVal>
            <c:numRef>
              <c:f>estimators!$C$85</c:f>
              <c:numCache>
                <c:formatCode>General</c:formatCode>
                <c:ptCount val="1"/>
                <c:pt idx="0">
                  <c:v>0.5</c:v>
                </c:pt>
              </c:numCache>
            </c:numRef>
          </c:yVal>
          <c:smooth val="0"/>
        </c:ser>
        <c:dLbls>
          <c:showLegendKey val="0"/>
          <c:showVal val="0"/>
          <c:showCatName val="0"/>
          <c:showSerName val="0"/>
          <c:showPercent val="0"/>
          <c:showBubbleSize val="0"/>
        </c:dLbls>
        <c:axId val="93480832"/>
        <c:axId val="93491200"/>
      </c:scatterChart>
      <c:valAx>
        <c:axId val="93480832"/>
        <c:scaling>
          <c:orientation val="minMax"/>
        </c:scaling>
        <c:delete val="0"/>
        <c:axPos val="b"/>
        <c:title>
          <c:tx>
            <c:rich>
              <a:bodyPr/>
              <a:lstStyle/>
              <a:p>
                <a:pPr>
                  <a:defRPr/>
                </a:pPr>
                <a:r>
                  <a:rPr lang="en-US"/>
                  <a:t>intercept values</a:t>
                </a:r>
              </a:p>
            </c:rich>
          </c:tx>
          <c:overlay val="0"/>
        </c:title>
        <c:numFmt formatCode="General" sourceLinked="1"/>
        <c:majorTickMark val="out"/>
        <c:minorTickMark val="none"/>
        <c:tickLblPos val="nextTo"/>
        <c:crossAx val="93491200"/>
        <c:crosses val="autoZero"/>
        <c:crossBetween val="midCat"/>
      </c:valAx>
      <c:valAx>
        <c:axId val="93491200"/>
        <c:scaling>
          <c:orientation val="minMax"/>
        </c:scaling>
        <c:delete val="0"/>
        <c:axPos val="l"/>
        <c:majorGridlines/>
        <c:title>
          <c:tx>
            <c:rich>
              <a:bodyPr rot="-5400000" vert="horz"/>
              <a:lstStyle/>
              <a:p>
                <a:pPr>
                  <a:defRPr/>
                </a:pPr>
                <a:r>
                  <a:rPr lang="en-US"/>
                  <a:t>meaningless y values, just to show a dotplot with two data series.</a:t>
                </a:r>
              </a:p>
            </c:rich>
          </c:tx>
          <c:overlay val="0"/>
        </c:title>
        <c:numFmt formatCode="General" sourceLinked="1"/>
        <c:majorTickMark val="out"/>
        <c:minorTickMark val="none"/>
        <c:tickLblPos val="nextTo"/>
        <c:crossAx val="93480832"/>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Your graph should NOT look like this.</a:t>
            </a:r>
          </a:p>
        </c:rich>
      </c:tx>
      <c:layout/>
      <c:overlay val="0"/>
    </c:title>
    <c:autoTitleDeleted val="0"/>
    <c:plotArea>
      <c:layout/>
      <c:scatterChart>
        <c:scatterStyle val="lineMarker"/>
        <c:varyColors val="0"/>
        <c:ser>
          <c:idx val="0"/>
          <c:order val="0"/>
          <c:tx>
            <c:strRef>
              <c:f>threetypes!$B$19</c:f>
              <c:strCache>
                <c:ptCount val="1"/>
                <c:pt idx="0">
                  <c:v>temperature, deg C</c:v>
                </c:pt>
              </c:strCache>
            </c:strRef>
          </c:tx>
          <c:spPr>
            <a:ln w="28575">
              <a:noFill/>
            </a:ln>
          </c:spPr>
          <c:xVal>
            <c:numRef>
              <c:f>threetypes!$A$20:$A$31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threetypes!$B$20:$B$31</c:f>
              <c:numCache>
                <c:formatCode>General</c:formatCode>
                <c:ptCount val="12"/>
                <c:pt idx="0">
                  <c:v>20</c:v>
                </c:pt>
                <c:pt idx="1">
                  <c:v>20</c:v>
                </c:pt>
                <c:pt idx="2">
                  <c:v>20</c:v>
                </c:pt>
                <c:pt idx="3">
                  <c:v>40</c:v>
                </c:pt>
                <c:pt idx="4">
                  <c:v>40</c:v>
                </c:pt>
                <c:pt idx="5">
                  <c:v>40</c:v>
                </c:pt>
                <c:pt idx="6">
                  <c:v>60</c:v>
                </c:pt>
                <c:pt idx="7">
                  <c:v>60</c:v>
                </c:pt>
                <c:pt idx="8">
                  <c:v>60</c:v>
                </c:pt>
                <c:pt idx="9">
                  <c:v>80</c:v>
                </c:pt>
                <c:pt idx="10">
                  <c:v>80</c:v>
                </c:pt>
                <c:pt idx="11">
                  <c:v>80</c:v>
                </c:pt>
              </c:numCache>
            </c:numRef>
          </c:yVal>
          <c:smooth val="0"/>
        </c:ser>
        <c:ser>
          <c:idx val="1"/>
          <c:order val="1"/>
          <c:tx>
            <c:strRef>
              <c:f>threetypes!$C$19</c:f>
              <c:strCache>
                <c:ptCount val="1"/>
                <c:pt idx="0">
                  <c:v>volume, Liters</c:v>
                </c:pt>
              </c:strCache>
            </c:strRef>
          </c:tx>
          <c:spPr>
            <a:ln w="28575">
              <a:noFill/>
            </a:ln>
          </c:spPr>
          <c:xVal>
            <c:numRef>
              <c:f>threetypes!$A$20:$A$31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threetypes!$C$20:$C$31</c:f>
              <c:numCache>
                <c:formatCode>0.000</c:formatCode>
                <c:ptCount val="12"/>
                <c:pt idx="0">
                  <c:v>2.3769999999999998</c:v>
                </c:pt>
                <c:pt idx="1">
                  <c:v>2.0819999999999999</c:v>
                </c:pt>
                <c:pt idx="2">
                  <c:v>2.2909999999999999</c:v>
                </c:pt>
                <c:pt idx="3">
                  <c:v>2.61</c:v>
                </c:pt>
                <c:pt idx="4">
                  <c:v>2.194</c:v>
                </c:pt>
                <c:pt idx="5">
                  <c:v>2.718</c:v>
                </c:pt>
                <c:pt idx="6">
                  <c:v>2.9359999999999999</c:v>
                </c:pt>
                <c:pt idx="7">
                  <c:v>2.5409999999999999</c:v>
                </c:pt>
                <c:pt idx="8">
                  <c:v>2.97</c:v>
                </c:pt>
                <c:pt idx="9">
                  <c:v>2.9589999999999996</c:v>
                </c:pt>
                <c:pt idx="10">
                  <c:v>3.2079999999999997</c:v>
                </c:pt>
                <c:pt idx="11">
                  <c:v>2.4319999999999999</c:v>
                </c:pt>
              </c:numCache>
            </c:numRef>
          </c:yVal>
          <c:smooth val="0"/>
        </c:ser>
        <c:dLbls>
          <c:showLegendKey val="0"/>
          <c:showVal val="0"/>
          <c:showCatName val="0"/>
          <c:showSerName val="0"/>
          <c:showPercent val="0"/>
          <c:showBubbleSize val="0"/>
        </c:dLbls>
        <c:axId val="83320832"/>
        <c:axId val="83322368"/>
      </c:scatterChart>
      <c:valAx>
        <c:axId val="83320832"/>
        <c:scaling>
          <c:orientation val="minMax"/>
        </c:scaling>
        <c:delete val="0"/>
        <c:axPos val="b"/>
        <c:numFmt formatCode="General" sourceLinked="1"/>
        <c:majorTickMark val="out"/>
        <c:minorTickMark val="none"/>
        <c:tickLblPos val="nextTo"/>
        <c:crossAx val="83322368"/>
        <c:crosses val="autoZero"/>
        <c:crossBetween val="midCat"/>
      </c:valAx>
      <c:valAx>
        <c:axId val="83322368"/>
        <c:scaling>
          <c:orientation val="minMax"/>
        </c:scaling>
        <c:delete val="0"/>
        <c:axPos val="l"/>
        <c:majorGridlines/>
        <c:numFmt formatCode="General" sourceLinked="1"/>
        <c:majorTickMark val="out"/>
        <c:minorTickMark val="none"/>
        <c:tickLblPos val="nextTo"/>
        <c:crossAx val="83320832"/>
        <c:crosses val="autoZero"/>
        <c:crossBetween val="midCat"/>
      </c:valAx>
    </c:plotArea>
    <c:legend>
      <c:legendPos val="r"/>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Slopes</a:t>
            </a:r>
            <a:r>
              <a:rPr lang="en-US" baseline="0"/>
              <a:t> of Least-Squares line, and true slope of underlying model</a:t>
            </a:r>
            <a:endParaRPr lang="en-US"/>
          </a:p>
        </c:rich>
      </c:tx>
      <c:overlay val="0"/>
    </c:title>
    <c:autoTitleDeleted val="0"/>
    <c:plotArea>
      <c:layout/>
      <c:scatterChart>
        <c:scatterStyle val="lineMarker"/>
        <c:varyColors val="0"/>
        <c:ser>
          <c:idx val="0"/>
          <c:order val="0"/>
          <c:tx>
            <c:v>estimated values</c:v>
          </c:tx>
          <c:spPr>
            <a:ln w="28575">
              <a:noFill/>
            </a:ln>
          </c:spPr>
          <c:xVal>
            <c:numRef>
              <c:f>estimators!$C$51:$AF$51</c:f>
              <c:numCache>
                <c:formatCode>General</c:formatCode>
                <c:ptCount val="30"/>
                <c:pt idx="0">
                  <c:v>8.4670095061160234E-3</c:v>
                </c:pt>
                <c:pt idx="1">
                  <c:v>6.9047708711086611E-3</c:v>
                </c:pt>
                <c:pt idx="2">
                  <c:v>-1.4919883277432136E-4</c:v>
                </c:pt>
                <c:pt idx="3">
                  <c:v>1.1902748979752829E-2</c:v>
                </c:pt>
                <c:pt idx="4">
                  <c:v>6.9378086951080225E-3</c:v>
                </c:pt>
                <c:pt idx="5">
                  <c:v>1.07483876563446E-2</c:v>
                </c:pt>
                <c:pt idx="6">
                  <c:v>5.0060798989904533E-3</c:v>
                </c:pt>
                <c:pt idx="7">
                  <c:v>7.8052243003816895E-3</c:v>
                </c:pt>
                <c:pt idx="8">
                  <c:v>9.3646980864162208E-3</c:v>
                </c:pt>
                <c:pt idx="9">
                  <c:v>8.2453206869315589E-3</c:v>
                </c:pt>
                <c:pt idx="10">
                  <c:v>1.6479937471893002E-4</c:v>
                </c:pt>
                <c:pt idx="11">
                  <c:v>1.1312202263943952E-2</c:v>
                </c:pt>
                <c:pt idx="12">
                  <c:v>1.009932977673858E-2</c:v>
                </c:pt>
                <c:pt idx="13">
                  <c:v>1.148581735629344E-2</c:v>
                </c:pt>
                <c:pt idx="14">
                  <c:v>6.8789491241036844E-3</c:v>
                </c:pt>
                <c:pt idx="15">
                  <c:v>9.0565080565858901E-3</c:v>
                </c:pt>
                <c:pt idx="16">
                  <c:v>1.0493361046839648E-2</c:v>
                </c:pt>
                <c:pt idx="17">
                  <c:v>1.50432098254187E-2</c:v>
                </c:pt>
                <c:pt idx="18">
                  <c:v>1.365905268059147E-2</c:v>
                </c:pt>
                <c:pt idx="19">
                  <c:v>1.1859460569467075E-2</c:v>
                </c:pt>
                <c:pt idx="20">
                  <c:v>6.8483524303545465E-3</c:v>
                </c:pt>
                <c:pt idx="21">
                  <c:v>1.1789466935959315E-2</c:v>
                </c:pt>
                <c:pt idx="22">
                  <c:v>8.5073129151039244E-3</c:v>
                </c:pt>
                <c:pt idx="23">
                  <c:v>6.9897707277296814E-3</c:v>
                </c:pt>
                <c:pt idx="24">
                  <c:v>1.2530571240025301E-2</c:v>
                </c:pt>
                <c:pt idx="25">
                  <c:v>1.7837539718822161E-2</c:v>
                </c:pt>
                <c:pt idx="26">
                  <c:v>5.0910938530079703E-3</c:v>
                </c:pt>
                <c:pt idx="27">
                  <c:v>1.1306259961113693E-2</c:v>
                </c:pt>
                <c:pt idx="28">
                  <c:v>9.309447318279299E-3</c:v>
                </c:pt>
                <c:pt idx="29">
                  <c:v>1.3757228715130139E-2</c:v>
                </c:pt>
              </c:numCache>
            </c:numRef>
          </c:xVal>
          <c:yVal>
            <c:numRef>
              <c:f>estimators!$C$82:$AF$82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yVal>
          <c:smooth val="0"/>
        </c:ser>
        <c:ser>
          <c:idx val="1"/>
          <c:order val="1"/>
          <c:tx>
            <c:v>true value</c:v>
          </c:tx>
          <c:spPr>
            <a:ln w="28575">
              <a:noFill/>
            </a:ln>
          </c:spPr>
          <c:xVal>
            <c:numRef>
              <c:f>estimators!$C$29</c:f>
              <c:numCache>
                <c:formatCode>General</c:formatCode>
                <c:ptCount val="1"/>
                <c:pt idx="0">
                  <c:v>0.01</c:v>
                </c:pt>
              </c:numCache>
            </c:numRef>
          </c:xVal>
          <c:yVal>
            <c:numRef>
              <c:f>estimators!$C$85</c:f>
              <c:numCache>
                <c:formatCode>General</c:formatCode>
                <c:ptCount val="1"/>
                <c:pt idx="0">
                  <c:v>0.5</c:v>
                </c:pt>
              </c:numCache>
            </c:numRef>
          </c:yVal>
          <c:smooth val="0"/>
        </c:ser>
        <c:dLbls>
          <c:showLegendKey val="0"/>
          <c:showVal val="0"/>
          <c:showCatName val="0"/>
          <c:showSerName val="0"/>
          <c:showPercent val="0"/>
          <c:showBubbleSize val="0"/>
        </c:dLbls>
        <c:axId val="93526272"/>
        <c:axId val="93544832"/>
      </c:scatterChart>
      <c:valAx>
        <c:axId val="93526272"/>
        <c:scaling>
          <c:orientation val="minMax"/>
        </c:scaling>
        <c:delete val="0"/>
        <c:axPos val="b"/>
        <c:title>
          <c:tx>
            <c:rich>
              <a:bodyPr/>
              <a:lstStyle/>
              <a:p>
                <a:pPr>
                  <a:defRPr/>
                </a:pPr>
                <a:r>
                  <a:rPr lang="en-US"/>
                  <a:t>slope values</a:t>
                </a:r>
              </a:p>
            </c:rich>
          </c:tx>
          <c:overlay val="0"/>
        </c:title>
        <c:numFmt formatCode="General" sourceLinked="1"/>
        <c:majorTickMark val="out"/>
        <c:minorTickMark val="none"/>
        <c:tickLblPos val="nextTo"/>
        <c:crossAx val="93544832"/>
        <c:crosses val="autoZero"/>
        <c:crossBetween val="midCat"/>
      </c:valAx>
      <c:valAx>
        <c:axId val="93544832"/>
        <c:scaling>
          <c:orientation val="minMax"/>
        </c:scaling>
        <c:delete val="0"/>
        <c:axPos val="l"/>
        <c:majorGridlines/>
        <c:title>
          <c:tx>
            <c:rich>
              <a:bodyPr rot="-5400000" vert="horz"/>
              <a:lstStyle/>
              <a:p>
                <a:pPr>
                  <a:defRPr/>
                </a:pPr>
                <a:r>
                  <a:rPr lang="en-US"/>
                  <a:t>meaningless y values, just to show a dotplot with two data series.</a:t>
                </a:r>
              </a:p>
            </c:rich>
          </c:tx>
          <c:overlay val="0"/>
        </c:title>
        <c:numFmt formatCode="General" sourceLinked="1"/>
        <c:majorTickMark val="out"/>
        <c:minorTickMark val="none"/>
        <c:tickLblPos val="nextTo"/>
        <c:crossAx val="93526272"/>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Distance(miles)  Residual Plot</a:t>
            </a:r>
          </a:p>
        </c:rich>
      </c:tx>
      <c:overlay val="0"/>
    </c:title>
    <c:autoTitleDeleted val="0"/>
    <c:plotArea>
      <c:layout/>
      <c:scatterChart>
        <c:scatterStyle val="lineMarker"/>
        <c:varyColors val="0"/>
        <c:ser>
          <c:idx val="0"/>
          <c:order val="0"/>
          <c:spPr>
            <a:ln w="28575">
              <a:noFill/>
            </a:ln>
          </c:spPr>
          <c:xVal>
            <c:numRef>
              <c:f>inferences!$B$25:$B$36</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inferences!$I$52:$I$63</c:f>
              <c:numCache>
                <c:formatCode>General</c:formatCode>
                <c:ptCount val="12"/>
                <c:pt idx="0">
                  <c:v>27.124595413616248</c:v>
                </c:pt>
                <c:pt idx="1">
                  <c:v>11.303863622432885</c:v>
                </c:pt>
                <c:pt idx="2">
                  <c:v>-61.100907768507057</c:v>
                </c:pt>
                <c:pt idx="3">
                  <c:v>52.004538842535368</c:v>
                </c:pt>
                <c:pt idx="4">
                  <c:v>26.726235175132643</c:v>
                </c:pt>
                <c:pt idx="5">
                  <c:v>-1.5647364376663973</c:v>
                </c:pt>
                <c:pt idx="6">
                  <c:v>3.695812708460096</c:v>
                </c:pt>
                <c:pt idx="7">
                  <c:v>-12.407691887940217</c:v>
                </c:pt>
                <c:pt idx="8">
                  <c:v>-7.4512453785583119</c:v>
                </c:pt>
                <c:pt idx="9">
                  <c:v>3.3584517628380013</c:v>
                </c:pt>
                <c:pt idx="10">
                  <c:v>30.083877765203098</c:v>
                </c:pt>
                <c:pt idx="11">
                  <c:v>-71.772793817546301</c:v>
                </c:pt>
              </c:numCache>
            </c:numRef>
          </c:yVal>
          <c:smooth val="0"/>
        </c:ser>
        <c:dLbls>
          <c:showLegendKey val="0"/>
          <c:showVal val="0"/>
          <c:showCatName val="0"/>
          <c:showSerName val="0"/>
          <c:showPercent val="0"/>
          <c:showBubbleSize val="0"/>
        </c:dLbls>
        <c:axId val="93586944"/>
        <c:axId val="93588864"/>
      </c:scatterChart>
      <c:valAx>
        <c:axId val="93586944"/>
        <c:scaling>
          <c:orientation val="minMax"/>
        </c:scaling>
        <c:delete val="0"/>
        <c:axPos val="b"/>
        <c:title>
          <c:tx>
            <c:rich>
              <a:bodyPr/>
              <a:lstStyle/>
              <a:p>
                <a:pPr>
                  <a:defRPr/>
                </a:pPr>
                <a:r>
                  <a:rPr lang="en-US"/>
                  <a:t>Distance(miles)</a:t>
                </a:r>
              </a:p>
            </c:rich>
          </c:tx>
          <c:overlay val="0"/>
        </c:title>
        <c:numFmt formatCode="General" sourceLinked="1"/>
        <c:majorTickMark val="out"/>
        <c:minorTickMark val="none"/>
        <c:tickLblPos val="nextTo"/>
        <c:crossAx val="93588864"/>
        <c:crosses val="autoZero"/>
        <c:crossBetween val="midCat"/>
      </c:valAx>
      <c:valAx>
        <c:axId val="93588864"/>
        <c:scaling>
          <c:orientation val="minMax"/>
        </c:scaling>
        <c:delete val="0"/>
        <c:axPos val="l"/>
        <c:title>
          <c:tx>
            <c:rich>
              <a:bodyPr/>
              <a:lstStyle/>
              <a:p>
                <a:pPr>
                  <a:defRPr/>
                </a:pPr>
                <a:r>
                  <a:rPr lang="en-US"/>
                  <a:t>Residuals</a:t>
                </a:r>
              </a:p>
            </c:rich>
          </c:tx>
          <c:overlay val="0"/>
        </c:title>
        <c:numFmt formatCode="General" sourceLinked="1"/>
        <c:majorTickMark val="out"/>
        <c:minorTickMark val="none"/>
        <c:tickLblPos val="nextTo"/>
        <c:crossAx val="93586944"/>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Distance(miles) Line Fit  Plot</a:t>
            </a:r>
          </a:p>
        </c:rich>
      </c:tx>
      <c:overlay val="0"/>
    </c:title>
    <c:autoTitleDeleted val="0"/>
    <c:plotArea>
      <c:layout/>
      <c:scatterChart>
        <c:scatterStyle val="lineMarker"/>
        <c:varyColors val="0"/>
        <c:ser>
          <c:idx val="0"/>
          <c:order val="0"/>
          <c:tx>
            <c:v>Airfare ($)</c:v>
          </c:tx>
          <c:spPr>
            <a:ln w="28575">
              <a:noFill/>
            </a:ln>
          </c:spPr>
          <c:xVal>
            <c:numRef>
              <c:f>inferences!$B$25:$B$36</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inferences!$C$25:$C$36</c:f>
              <c:numCache>
                <c:formatCode>_("$"* #,##0_);_("$"* \(#,##0\);_("$"* "-"??_);_(@_)</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ser>
          <c:idx val="1"/>
          <c:order val="1"/>
          <c:tx>
            <c:v>Predicted Airfare ($)</c:v>
          </c:tx>
          <c:spPr>
            <a:ln w="28575">
              <a:noFill/>
            </a:ln>
          </c:spPr>
          <c:xVal>
            <c:numRef>
              <c:f>inferences!$B$25:$B$36</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inferences!$H$52:$H$63</c:f>
              <c:numCache>
                <c:formatCode>General</c:formatCode>
                <c:ptCount val="12"/>
                <c:pt idx="0">
                  <c:v>150.87540458638375</c:v>
                </c:pt>
                <c:pt idx="1">
                  <c:v>126.69613637756711</c:v>
                </c:pt>
                <c:pt idx="2">
                  <c:v>155.10090776850706</c:v>
                </c:pt>
                <c:pt idx="3">
                  <c:v>225.99546115746463</c:v>
                </c:pt>
                <c:pt idx="4">
                  <c:v>131.27376482486736</c:v>
                </c:pt>
                <c:pt idx="5">
                  <c:v>259.5647364376664</c:v>
                </c:pt>
                <c:pt idx="6">
                  <c:v>194.3041872915399</c:v>
                </c:pt>
                <c:pt idx="7">
                  <c:v>200.40769188794022</c:v>
                </c:pt>
                <c:pt idx="8">
                  <c:v>105.45124537855831</c:v>
                </c:pt>
                <c:pt idx="9">
                  <c:v>175.641548237162</c:v>
                </c:pt>
                <c:pt idx="10">
                  <c:v>107.9161222347969</c:v>
                </c:pt>
                <c:pt idx="11">
                  <c:v>169.7727938175463</c:v>
                </c:pt>
              </c:numCache>
            </c:numRef>
          </c:yVal>
          <c:smooth val="0"/>
        </c:ser>
        <c:dLbls>
          <c:showLegendKey val="0"/>
          <c:showVal val="0"/>
          <c:showCatName val="0"/>
          <c:showSerName val="0"/>
          <c:showPercent val="0"/>
          <c:showBubbleSize val="0"/>
        </c:dLbls>
        <c:axId val="93627520"/>
        <c:axId val="93629440"/>
      </c:scatterChart>
      <c:valAx>
        <c:axId val="93627520"/>
        <c:scaling>
          <c:orientation val="minMax"/>
        </c:scaling>
        <c:delete val="0"/>
        <c:axPos val="b"/>
        <c:title>
          <c:tx>
            <c:rich>
              <a:bodyPr/>
              <a:lstStyle/>
              <a:p>
                <a:pPr>
                  <a:defRPr/>
                </a:pPr>
                <a:r>
                  <a:rPr lang="en-US"/>
                  <a:t>Distance(miles)</a:t>
                </a:r>
              </a:p>
            </c:rich>
          </c:tx>
          <c:overlay val="0"/>
        </c:title>
        <c:numFmt formatCode="General" sourceLinked="1"/>
        <c:majorTickMark val="out"/>
        <c:minorTickMark val="none"/>
        <c:tickLblPos val="nextTo"/>
        <c:crossAx val="93629440"/>
        <c:crosses val="autoZero"/>
        <c:crossBetween val="midCat"/>
      </c:valAx>
      <c:valAx>
        <c:axId val="93629440"/>
        <c:scaling>
          <c:orientation val="minMax"/>
        </c:scaling>
        <c:delete val="0"/>
        <c:axPos val="l"/>
        <c:title>
          <c:tx>
            <c:rich>
              <a:bodyPr/>
              <a:lstStyle/>
              <a:p>
                <a:pPr>
                  <a:defRPr/>
                </a:pPr>
                <a:r>
                  <a:rPr lang="en-US"/>
                  <a:t>Airfare ($)</a:t>
                </a:r>
              </a:p>
            </c:rich>
          </c:tx>
          <c:overlay val="0"/>
        </c:title>
        <c:numFmt formatCode="_(&quot;$&quot;* #,##0_);_(&quot;$&quot;* \(#,##0\);_(&quot;$&quot;* &quot;-&quot;??_);_(@_)" sourceLinked="1"/>
        <c:majorTickMark val="out"/>
        <c:minorTickMark val="none"/>
        <c:tickLblPos val="nextTo"/>
        <c:crossAx val="93627520"/>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Normal Probability Plot</a:t>
            </a:r>
          </a:p>
        </c:rich>
      </c:tx>
      <c:overlay val="0"/>
    </c:title>
    <c:autoTitleDeleted val="0"/>
    <c:plotArea>
      <c:layout/>
      <c:scatterChart>
        <c:scatterStyle val="lineMarker"/>
        <c:varyColors val="0"/>
        <c:ser>
          <c:idx val="0"/>
          <c:order val="0"/>
          <c:spPr>
            <a:ln w="28575">
              <a:noFill/>
            </a:ln>
          </c:spPr>
          <c:xVal>
            <c:numRef>
              <c:f>inferences!$K$52:$K$63</c:f>
              <c:numCache>
                <c:formatCode>General</c:formatCode>
                <c:ptCount val="12"/>
                <c:pt idx="0">
                  <c:v>4.166666666666667</c:v>
                </c:pt>
                <c:pt idx="1">
                  <c:v>12.5</c:v>
                </c:pt>
                <c:pt idx="2">
                  <c:v>20.833333333333336</c:v>
                </c:pt>
                <c:pt idx="3">
                  <c:v>29.166666666666668</c:v>
                </c:pt>
                <c:pt idx="4">
                  <c:v>37.5</c:v>
                </c:pt>
                <c:pt idx="5">
                  <c:v>45.833333333333336</c:v>
                </c:pt>
                <c:pt idx="6">
                  <c:v>54.166666666666664</c:v>
                </c:pt>
                <c:pt idx="7">
                  <c:v>62.5</c:v>
                </c:pt>
                <c:pt idx="8">
                  <c:v>70.833333333333343</c:v>
                </c:pt>
                <c:pt idx="9">
                  <c:v>79.166666666666671</c:v>
                </c:pt>
                <c:pt idx="10">
                  <c:v>87.500000000000014</c:v>
                </c:pt>
                <c:pt idx="11">
                  <c:v>95.833333333333343</c:v>
                </c:pt>
              </c:numCache>
            </c:numRef>
          </c:xVal>
          <c:yVal>
            <c:numRef>
              <c:f>inferences!$L$52:$L$63</c:f>
              <c:numCache>
                <c:formatCode>General</c:formatCode>
                <c:ptCount val="12"/>
                <c:pt idx="0">
                  <c:v>94</c:v>
                </c:pt>
                <c:pt idx="1">
                  <c:v>98</c:v>
                </c:pt>
                <c:pt idx="2">
                  <c:v>98</c:v>
                </c:pt>
                <c:pt idx="3">
                  <c:v>138</c:v>
                </c:pt>
                <c:pt idx="4">
                  <c:v>138</c:v>
                </c:pt>
                <c:pt idx="5">
                  <c:v>158</c:v>
                </c:pt>
                <c:pt idx="6">
                  <c:v>178</c:v>
                </c:pt>
                <c:pt idx="7">
                  <c:v>179</c:v>
                </c:pt>
                <c:pt idx="8">
                  <c:v>188</c:v>
                </c:pt>
                <c:pt idx="9">
                  <c:v>198</c:v>
                </c:pt>
                <c:pt idx="10">
                  <c:v>258</c:v>
                </c:pt>
                <c:pt idx="11">
                  <c:v>278</c:v>
                </c:pt>
              </c:numCache>
            </c:numRef>
          </c:yVal>
          <c:smooth val="0"/>
        </c:ser>
        <c:dLbls>
          <c:showLegendKey val="0"/>
          <c:showVal val="0"/>
          <c:showCatName val="0"/>
          <c:showSerName val="0"/>
          <c:showPercent val="0"/>
          <c:showBubbleSize val="0"/>
        </c:dLbls>
        <c:axId val="95756288"/>
        <c:axId val="95758208"/>
      </c:scatterChart>
      <c:valAx>
        <c:axId val="95756288"/>
        <c:scaling>
          <c:orientation val="minMax"/>
        </c:scaling>
        <c:delete val="0"/>
        <c:axPos val="b"/>
        <c:title>
          <c:tx>
            <c:rich>
              <a:bodyPr/>
              <a:lstStyle/>
              <a:p>
                <a:pPr>
                  <a:defRPr/>
                </a:pPr>
                <a:r>
                  <a:rPr lang="en-US"/>
                  <a:t>Sample Percentile</a:t>
                </a:r>
              </a:p>
            </c:rich>
          </c:tx>
          <c:overlay val="0"/>
        </c:title>
        <c:numFmt formatCode="General" sourceLinked="1"/>
        <c:majorTickMark val="out"/>
        <c:minorTickMark val="none"/>
        <c:tickLblPos val="nextTo"/>
        <c:crossAx val="95758208"/>
        <c:crosses val="autoZero"/>
        <c:crossBetween val="midCat"/>
      </c:valAx>
      <c:valAx>
        <c:axId val="95758208"/>
        <c:scaling>
          <c:orientation val="minMax"/>
        </c:scaling>
        <c:delete val="0"/>
        <c:axPos val="l"/>
        <c:title>
          <c:tx>
            <c:rich>
              <a:bodyPr/>
              <a:lstStyle/>
              <a:p>
                <a:pPr>
                  <a:defRPr/>
                </a:pPr>
                <a:r>
                  <a:rPr lang="en-US"/>
                  <a:t>Airfare ($)</a:t>
                </a:r>
              </a:p>
            </c:rich>
          </c:tx>
          <c:overlay val="0"/>
        </c:title>
        <c:numFmt formatCode="General" sourceLinked="1"/>
        <c:majorTickMark val="out"/>
        <c:minorTickMark val="none"/>
        <c:tickLblPos val="nextTo"/>
        <c:crossAx val="95756288"/>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Distance(miles)  Residual Plot</a:t>
            </a:r>
          </a:p>
        </c:rich>
      </c:tx>
      <c:overlay val="0"/>
    </c:title>
    <c:autoTitleDeleted val="0"/>
    <c:plotArea>
      <c:layout/>
      <c:scatterChart>
        <c:scatterStyle val="lineMarker"/>
        <c:varyColors val="0"/>
        <c:ser>
          <c:idx val="0"/>
          <c:order val="0"/>
          <c:spPr>
            <a:ln w="28575">
              <a:noFill/>
            </a:ln>
          </c:spPr>
          <c:xVal>
            <c:numRef>
              <c:f>inferences_newdata!$B$25:$B$36</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inferences_newdata!$I$52:$I$63</c:f>
              <c:numCache>
                <c:formatCode>General</c:formatCode>
                <c:ptCount val="12"/>
              </c:numCache>
            </c:numRef>
          </c:yVal>
          <c:smooth val="0"/>
        </c:ser>
        <c:dLbls>
          <c:showLegendKey val="0"/>
          <c:showVal val="0"/>
          <c:showCatName val="0"/>
          <c:showSerName val="0"/>
          <c:showPercent val="0"/>
          <c:showBubbleSize val="0"/>
        </c:dLbls>
        <c:axId val="95557888"/>
        <c:axId val="95592832"/>
      </c:scatterChart>
      <c:valAx>
        <c:axId val="95557888"/>
        <c:scaling>
          <c:orientation val="minMax"/>
        </c:scaling>
        <c:delete val="0"/>
        <c:axPos val="b"/>
        <c:title>
          <c:tx>
            <c:rich>
              <a:bodyPr/>
              <a:lstStyle/>
              <a:p>
                <a:pPr>
                  <a:defRPr/>
                </a:pPr>
                <a:r>
                  <a:rPr lang="en-US"/>
                  <a:t>Distance(miles)</a:t>
                </a:r>
              </a:p>
            </c:rich>
          </c:tx>
          <c:overlay val="0"/>
        </c:title>
        <c:numFmt formatCode="General" sourceLinked="1"/>
        <c:majorTickMark val="out"/>
        <c:minorTickMark val="none"/>
        <c:tickLblPos val="nextTo"/>
        <c:crossAx val="95592832"/>
        <c:crosses val="autoZero"/>
        <c:crossBetween val="midCat"/>
      </c:valAx>
      <c:valAx>
        <c:axId val="95592832"/>
        <c:scaling>
          <c:orientation val="minMax"/>
        </c:scaling>
        <c:delete val="0"/>
        <c:axPos val="l"/>
        <c:title>
          <c:tx>
            <c:rich>
              <a:bodyPr/>
              <a:lstStyle/>
              <a:p>
                <a:pPr>
                  <a:defRPr/>
                </a:pPr>
                <a:r>
                  <a:rPr lang="en-US"/>
                  <a:t>Residuals</a:t>
                </a:r>
              </a:p>
            </c:rich>
          </c:tx>
          <c:overlay val="0"/>
        </c:title>
        <c:numFmt formatCode="General" sourceLinked="1"/>
        <c:majorTickMark val="out"/>
        <c:minorTickMark val="none"/>
        <c:tickLblPos val="nextTo"/>
        <c:crossAx val="95557888"/>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Distance(miles) Line Fit  Plot</a:t>
            </a:r>
          </a:p>
        </c:rich>
      </c:tx>
      <c:overlay val="0"/>
    </c:title>
    <c:autoTitleDeleted val="0"/>
    <c:plotArea>
      <c:layout/>
      <c:scatterChart>
        <c:scatterStyle val="lineMarker"/>
        <c:varyColors val="0"/>
        <c:ser>
          <c:idx val="0"/>
          <c:order val="0"/>
          <c:tx>
            <c:v>Airfare ($)</c:v>
          </c:tx>
          <c:spPr>
            <a:ln w="28575">
              <a:noFill/>
            </a:ln>
          </c:spPr>
          <c:xVal>
            <c:numRef>
              <c:f>inferences_newdata!$B$25:$B$36</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inferences_newdata!$C$25:$C$36</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ser>
          <c:idx val="1"/>
          <c:order val="1"/>
          <c:tx>
            <c:v>Predicted Airfare ($)</c:v>
          </c:tx>
          <c:spPr>
            <a:ln w="28575">
              <a:noFill/>
            </a:ln>
          </c:spPr>
          <c:xVal>
            <c:numRef>
              <c:f>inferences_newdata!$B$25:$B$36</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inferences_newdata!$H$52:$H$63</c:f>
              <c:numCache>
                <c:formatCode>General</c:formatCode>
                <c:ptCount val="12"/>
              </c:numCache>
            </c:numRef>
          </c:yVal>
          <c:smooth val="0"/>
        </c:ser>
        <c:dLbls>
          <c:showLegendKey val="0"/>
          <c:showVal val="0"/>
          <c:showCatName val="0"/>
          <c:showSerName val="0"/>
          <c:showPercent val="0"/>
          <c:showBubbleSize val="0"/>
        </c:dLbls>
        <c:axId val="95700096"/>
        <c:axId val="95702016"/>
      </c:scatterChart>
      <c:valAx>
        <c:axId val="95700096"/>
        <c:scaling>
          <c:orientation val="minMax"/>
        </c:scaling>
        <c:delete val="0"/>
        <c:axPos val="b"/>
        <c:title>
          <c:tx>
            <c:rich>
              <a:bodyPr/>
              <a:lstStyle/>
              <a:p>
                <a:pPr>
                  <a:defRPr/>
                </a:pPr>
                <a:r>
                  <a:rPr lang="en-US"/>
                  <a:t>Distance(miles)</a:t>
                </a:r>
              </a:p>
            </c:rich>
          </c:tx>
          <c:overlay val="0"/>
        </c:title>
        <c:numFmt formatCode="General" sourceLinked="1"/>
        <c:majorTickMark val="out"/>
        <c:minorTickMark val="none"/>
        <c:tickLblPos val="nextTo"/>
        <c:crossAx val="95702016"/>
        <c:crosses val="autoZero"/>
        <c:crossBetween val="midCat"/>
      </c:valAx>
      <c:valAx>
        <c:axId val="95702016"/>
        <c:scaling>
          <c:orientation val="minMax"/>
        </c:scaling>
        <c:delete val="0"/>
        <c:axPos val="l"/>
        <c:title>
          <c:tx>
            <c:rich>
              <a:bodyPr/>
              <a:lstStyle/>
              <a:p>
                <a:pPr>
                  <a:defRPr/>
                </a:pPr>
                <a:r>
                  <a:rPr lang="en-US"/>
                  <a:t>Airfare ($)</a:t>
                </a:r>
              </a:p>
            </c:rich>
          </c:tx>
          <c:overlay val="0"/>
        </c:title>
        <c:numFmt formatCode="&quot;$&quot;#,##0.00" sourceLinked="1"/>
        <c:majorTickMark val="out"/>
        <c:minorTickMark val="none"/>
        <c:tickLblPos val="nextTo"/>
        <c:crossAx val="95700096"/>
        <c:crosses val="autoZero"/>
        <c:crossBetween val="midCat"/>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Normal Probability Plot</a:t>
            </a:r>
          </a:p>
        </c:rich>
      </c:tx>
      <c:overlay val="0"/>
    </c:title>
    <c:autoTitleDeleted val="0"/>
    <c:plotArea>
      <c:layout/>
      <c:scatterChart>
        <c:scatterStyle val="lineMarker"/>
        <c:varyColors val="0"/>
        <c:ser>
          <c:idx val="0"/>
          <c:order val="0"/>
          <c:spPr>
            <a:ln w="28575">
              <a:noFill/>
            </a:ln>
          </c:spPr>
          <c:xVal>
            <c:numRef>
              <c:f>inferences_newdata!$K$52:$K$63</c:f>
              <c:numCache>
                <c:formatCode>General</c:formatCode>
                <c:ptCount val="12"/>
              </c:numCache>
            </c:numRef>
          </c:xVal>
          <c:yVal>
            <c:numRef>
              <c:f>inferences_newdata!$L$52:$L$63</c:f>
              <c:numCache>
                <c:formatCode>General</c:formatCode>
                <c:ptCount val="12"/>
              </c:numCache>
            </c:numRef>
          </c:yVal>
          <c:smooth val="0"/>
        </c:ser>
        <c:dLbls>
          <c:showLegendKey val="0"/>
          <c:showVal val="0"/>
          <c:showCatName val="0"/>
          <c:showSerName val="0"/>
          <c:showPercent val="0"/>
          <c:showBubbleSize val="0"/>
        </c:dLbls>
        <c:axId val="95718784"/>
        <c:axId val="95733248"/>
      </c:scatterChart>
      <c:valAx>
        <c:axId val="95718784"/>
        <c:scaling>
          <c:orientation val="minMax"/>
        </c:scaling>
        <c:delete val="0"/>
        <c:axPos val="b"/>
        <c:title>
          <c:tx>
            <c:rich>
              <a:bodyPr/>
              <a:lstStyle/>
              <a:p>
                <a:pPr>
                  <a:defRPr/>
                </a:pPr>
                <a:r>
                  <a:rPr lang="en-US"/>
                  <a:t>Sample Percentile</a:t>
                </a:r>
              </a:p>
            </c:rich>
          </c:tx>
          <c:overlay val="0"/>
        </c:title>
        <c:numFmt formatCode="General" sourceLinked="1"/>
        <c:majorTickMark val="out"/>
        <c:minorTickMark val="none"/>
        <c:tickLblPos val="nextTo"/>
        <c:crossAx val="95733248"/>
        <c:crosses val="autoZero"/>
        <c:crossBetween val="midCat"/>
      </c:valAx>
      <c:valAx>
        <c:axId val="95733248"/>
        <c:scaling>
          <c:orientation val="minMax"/>
        </c:scaling>
        <c:delete val="0"/>
        <c:axPos val="l"/>
        <c:title>
          <c:tx>
            <c:rich>
              <a:bodyPr/>
              <a:lstStyle/>
              <a:p>
                <a:pPr>
                  <a:defRPr/>
                </a:pPr>
                <a:r>
                  <a:rPr lang="en-US"/>
                  <a:t>Airfare ($)</a:t>
                </a:r>
              </a:p>
            </c:rich>
          </c:tx>
          <c:overlay val="0"/>
        </c:title>
        <c:numFmt formatCode="General" sourceLinked="1"/>
        <c:majorTickMark val="out"/>
        <c:minorTickMark val="none"/>
        <c:tickLblPos val="nextTo"/>
        <c:crossAx val="95718784"/>
        <c:crosses val="autoZero"/>
        <c:crossBetween val="midCat"/>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explainingvariation!$C$13</c:f>
              <c:strCache>
                <c:ptCount val="1"/>
                <c:pt idx="0">
                  <c:v>Airfare ($)</c:v>
                </c:pt>
              </c:strCache>
            </c:strRef>
          </c:tx>
          <c:spPr>
            <a:ln w="28575">
              <a:noFill/>
            </a:ln>
          </c:spPr>
          <c:trendline>
            <c:trendlineType val="linear"/>
            <c:dispRSqr val="1"/>
            <c:dispEq val="1"/>
            <c:trendlineLbl>
              <c:layout>
                <c:manualLayout>
                  <c:x val="0.45539151356080487"/>
                  <c:y val="-8.8322032662583844E-2"/>
                </c:manualLayout>
              </c:layout>
              <c:numFmt formatCode="General" sourceLinked="0"/>
            </c:trendlineLbl>
          </c:trendline>
          <c:xVal>
            <c:numRef>
              <c:f>explainingvariation!$B$14:$B$25</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explainingvariation!$C$14:$C$25</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5308800"/>
        <c:axId val="95314688"/>
      </c:scatterChart>
      <c:valAx>
        <c:axId val="95308800"/>
        <c:scaling>
          <c:orientation val="minMax"/>
        </c:scaling>
        <c:delete val="0"/>
        <c:axPos val="b"/>
        <c:numFmt formatCode="General" sourceLinked="1"/>
        <c:majorTickMark val="out"/>
        <c:minorTickMark val="none"/>
        <c:tickLblPos val="nextTo"/>
        <c:crossAx val="95314688"/>
        <c:crosses val="autoZero"/>
        <c:crossBetween val="midCat"/>
      </c:valAx>
      <c:valAx>
        <c:axId val="95314688"/>
        <c:scaling>
          <c:orientation val="minMax"/>
        </c:scaling>
        <c:delete val="0"/>
        <c:axPos val="l"/>
        <c:majorGridlines/>
        <c:numFmt formatCode="&quot;$&quot;#,##0.00" sourceLinked="1"/>
        <c:majorTickMark val="out"/>
        <c:minorTickMark val="none"/>
        <c:tickLblPos val="nextTo"/>
        <c:crossAx val="95308800"/>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Original Airfare</a:t>
            </a:r>
            <a:r>
              <a:rPr lang="en-US" baseline="0"/>
              <a:t> data</a:t>
            </a:r>
          </a:p>
        </c:rich>
      </c:tx>
      <c:overlay val="0"/>
    </c:title>
    <c:autoTitleDeleted val="0"/>
    <c:plotArea>
      <c:layout/>
      <c:scatterChart>
        <c:scatterStyle val="lineMarker"/>
        <c:varyColors val="0"/>
        <c:ser>
          <c:idx val="0"/>
          <c:order val="0"/>
          <c:tx>
            <c:strRef>
              <c:f>'R2properties'!$C$12</c:f>
              <c:strCache>
                <c:ptCount val="1"/>
                <c:pt idx="0">
                  <c:v>Airfare ($)</c:v>
                </c:pt>
              </c:strCache>
            </c:strRef>
          </c:tx>
          <c:spPr>
            <a:ln w="28575">
              <a:noFill/>
            </a:ln>
          </c:spPr>
          <c:trendline>
            <c:trendlineType val="linear"/>
            <c:dispRSqr val="1"/>
            <c:dispEq val="1"/>
            <c:trendlineLbl>
              <c:layout>
                <c:manualLayout>
                  <c:x val="0.47761373578302718"/>
                  <c:y val="-0.10221092155147278"/>
                </c:manualLayout>
              </c:layout>
              <c:numFmt formatCode="General" sourceLinked="0"/>
            </c:trendlineLbl>
          </c:trendline>
          <c:xVal>
            <c:numRef>
              <c:f>'R2properties'!$B$13:$B$24</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'R2properties'!$C$13:$C$24</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5377664"/>
        <c:axId val="95383552"/>
      </c:scatterChart>
      <c:valAx>
        <c:axId val="95377664"/>
        <c:scaling>
          <c:orientation val="minMax"/>
        </c:scaling>
        <c:delete val="0"/>
        <c:axPos val="b"/>
        <c:numFmt formatCode="General" sourceLinked="1"/>
        <c:majorTickMark val="out"/>
        <c:minorTickMark val="none"/>
        <c:tickLblPos val="nextTo"/>
        <c:crossAx val="95383552"/>
        <c:crosses val="autoZero"/>
        <c:crossBetween val="midCat"/>
      </c:valAx>
      <c:valAx>
        <c:axId val="95383552"/>
        <c:scaling>
          <c:orientation val="minMax"/>
        </c:scaling>
        <c:delete val="0"/>
        <c:axPos val="l"/>
        <c:majorGridlines/>
        <c:numFmt formatCode="&quot;$&quot;#,##0.00" sourceLinked="1"/>
        <c:majorTickMark val="out"/>
        <c:minorTickMark val="none"/>
        <c:tickLblPos val="nextTo"/>
        <c:crossAx val="95377664"/>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Shifted &amp; Scaled data</a:t>
            </a:r>
          </a:p>
        </c:rich>
      </c:tx>
      <c:overlay val="0"/>
    </c:title>
    <c:autoTitleDeleted val="0"/>
    <c:plotArea>
      <c:layout/>
      <c:scatterChart>
        <c:scatterStyle val="lineMarker"/>
        <c:varyColors val="0"/>
        <c:ser>
          <c:idx val="0"/>
          <c:order val="0"/>
          <c:tx>
            <c:strRef>
              <c:f>'R2properties'!$E$12</c:f>
              <c:strCache>
                <c:ptCount val="1"/>
                <c:pt idx="0">
                  <c:v>NewCost</c:v>
                </c:pt>
              </c:strCache>
            </c:strRef>
          </c:tx>
          <c:spPr>
            <a:ln w="28575">
              <a:noFill/>
            </a:ln>
          </c:spPr>
          <c:trendline>
            <c:trendlineType val="linear"/>
            <c:dispRSqr val="1"/>
            <c:dispEq val="1"/>
            <c:trendlineLbl>
              <c:layout>
                <c:manualLayout>
                  <c:x val="0.43254615048118966"/>
                  <c:y val="-2.8136847477398672E-2"/>
                </c:manualLayout>
              </c:layout>
              <c:numFmt formatCode="General" sourceLinked="0"/>
            </c:trendlineLbl>
          </c:trendline>
          <c:xVal>
            <c:numRef>
              <c:f>'R2properties'!$D$13:$D$24</c:f>
              <c:numCache>
                <c:formatCode>_(* #,##0.00_);_(* \(#,##0.00\);_(* "-"??_);_(@_)</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'R2properties'!$E$13:$E$24</c:f>
              <c:numCache>
                <c:formatCode>General</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5421568"/>
        <c:axId val="95423104"/>
      </c:scatterChart>
      <c:valAx>
        <c:axId val="95421568"/>
        <c:scaling>
          <c:orientation val="minMax"/>
        </c:scaling>
        <c:delete val="0"/>
        <c:axPos val="b"/>
        <c:numFmt formatCode="_(* #,##0.00_);_(* \(#,##0.00\);_(* &quot;-&quot;??_);_(@_)" sourceLinked="1"/>
        <c:majorTickMark val="out"/>
        <c:minorTickMark val="none"/>
        <c:tickLblPos val="nextTo"/>
        <c:crossAx val="95423104"/>
        <c:crosses val="autoZero"/>
        <c:crossBetween val="midCat"/>
      </c:valAx>
      <c:valAx>
        <c:axId val="95423104"/>
        <c:scaling>
          <c:orientation val="minMax"/>
        </c:scaling>
        <c:delete val="0"/>
        <c:axPos val="l"/>
        <c:majorGridlines/>
        <c:numFmt formatCode="General" sourceLinked="1"/>
        <c:majorTickMark val="out"/>
        <c:minorTickMark val="none"/>
        <c:tickLblPos val="nextTo"/>
        <c:crossAx val="95421568"/>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signalplusnoise!$C$19</c:f>
              <c:strCache>
                <c:ptCount val="1"/>
                <c:pt idx="0">
                  <c:v>signal: y=E(Y)= mu_(Y|x)</c:v>
                </c:pt>
              </c:strCache>
            </c:strRef>
          </c:tx>
          <c:spPr>
            <a:ln>
              <a:solidFill>
                <a:schemeClr val="bg1">
                  <a:lumMod val="85000"/>
                </a:schemeClr>
              </a:solidFill>
            </a:ln>
          </c:spPr>
          <c:marker>
            <c:spPr>
              <a:solidFill>
                <a:schemeClr val="bg1">
                  <a:lumMod val="95000"/>
                </a:schemeClr>
              </a:solidFill>
              <a:ln>
                <a:solidFill>
                  <a:schemeClr val="bg1">
                    <a:lumMod val="85000"/>
                  </a:schemeClr>
                </a:solidFill>
              </a:ln>
            </c:spPr>
          </c:marker>
          <c:xVal>
            <c:numRef>
              <c:f>signalplusnoise!$B$20:$B$49</c:f>
              <c:numCache>
                <c:formatCode>General</c:formatCode>
                <c:ptCount val="30"/>
                <c:pt idx="0">
                  <c:v>20</c:v>
                </c:pt>
                <c:pt idx="1">
                  <c:v>20</c:v>
                </c:pt>
                <c:pt idx="2">
                  <c:v>20</c:v>
                </c:pt>
                <c:pt idx="3">
                  <c:v>30</c:v>
                </c:pt>
                <c:pt idx="4">
                  <c:v>30</c:v>
                </c:pt>
                <c:pt idx="5">
                  <c:v>30</c:v>
                </c:pt>
                <c:pt idx="6">
                  <c:v>40</c:v>
                </c:pt>
                <c:pt idx="7">
                  <c:v>40</c:v>
                </c:pt>
                <c:pt idx="8">
                  <c:v>40</c:v>
                </c:pt>
                <c:pt idx="9">
                  <c:v>50</c:v>
                </c:pt>
                <c:pt idx="10">
                  <c:v>50</c:v>
                </c:pt>
                <c:pt idx="11">
                  <c:v>50</c:v>
                </c:pt>
                <c:pt idx="12">
                  <c:v>60</c:v>
                </c:pt>
                <c:pt idx="13">
                  <c:v>60</c:v>
                </c:pt>
                <c:pt idx="14">
                  <c:v>60</c:v>
                </c:pt>
                <c:pt idx="15">
                  <c:v>70</c:v>
                </c:pt>
                <c:pt idx="16">
                  <c:v>70</c:v>
                </c:pt>
                <c:pt idx="17">
                  <c:v>70</c:v>
                </c:pt>
                <c:pt idx="18">
                  <c:v>80</c:v>
                </c:pt>
                <c:pt idx="19">
                  <c:v>80</c:v>
                </c:pt>
                <c:pt idx="20">
                  <c:v>80</c:v>
                </c:pt>
                <c:pt idx="21">
                  <c:v>90</c:v>
                </c:pt>
                <c:pt idx="22">
                  <c:v>90</c:v>
                </c:pt>
                <c:pt idx="23">
                  <c:v>90</c:v>
                </c:pt>
                <c:pt idx="24">
                  <c:v>100</c:v>
                </c:pt>
                <c:pt idx="25">
                  <c:v>100</c:v>
                </c:pt>
                <c:pt idx="26">
                  <c:v>100</c:v>
                </c:pt>
                <c:pt idx="27">
                  <c:v>110</c:v>
                </c:pt>
                <c:pt idx="28">
                  <c:v>110</c:v>
                </c:pt>
                <c:pt idx="29">
                  <c:v>110</c:v>
                </c:pt>
              </c:numCache>
            </c:numRef>
          </c:xVal>
          <c:yVal>
            <c:numRef>
              <c:f>signalplusnoise!$C$20:$C$49</c:f>
              <c:numCache>
                <c:formatCode>General</c:formatCode>
                <c:ptCount val="30"/>
                <c:pt idx="0">
                  <c:v>2.2000000000000002</c:v>
                </c:pt>
                <c:pt idx="1">
                  <c:v>2.2000000000000002</c:v>
                </c:pt>
                <c:pt idx="2">
                  <c:v>2.2000000000000002</c:v>
                </c:pt>
                <c:pt idx="3">
                  <c:v>2.2999999999999998</c:v>
                </c:pt>
                <c:pt idx="4">
                  <c:v>2.2999999999999998</c:v>
                </c:pt>
                <c:pt idx="5">
                  <c:v>2.2999999999999998</c:v>
                </c:pt>
                <c:pt idx="6">
                  <c:v>2.4</c:v>
                </c:pt>
                <c:pt idx="7">
                  <c:v>2.4</c:v>
                </c:pt>
                <c:pt idx="8">
                  <c:v>2.4</c:v>
                </c:pt>
                <c:pt idx="9">
                  <c:v>2.5</c:v>
                </c:pt>
                <c:pt idx="10">
                  <c:v>2.5</c:v>
                </c:pt>
                <c:pt idx="11">
                  <c:v>2.5</c:v>
                </c:pt>
                <c:pt idx="12">
                  <c:v>2.6</c:v>
                </c:pt>
                <c:pt idx="13">
                  <c:v>2.6</c:v>
                </c:pt>
                <c:pt idx="14">
                  <c:v>2.6</c:v>
                </c:pt>
                <c:pt idx="15">
                  <c:v>2.7</c:v>
                </c:pt>
                <c:pt idx="16">
                  <c:v>2.7</c:v>
                </c:pt>
                <c:pt idx="17">
                  <c:v>2.7</c:v>
                </c:pt>
                <c:pt idx="18">
                  <c:v>2.8</c:v>
                </c:pt>
                <c:pt idx="19">
                  <c:v>2.8</c:v>
                </c:pt>
                <c:pt idx="20">
                  <c:v>2.8</c:v>
                </c:pt>
                <c:pt idx="21">
                  <c:v>2.9</c:v>
                </c:pt>
                <c:pt idx="22">
                  <c:v>2.9</c:v>
                </c:pt>
                <c:pt idx="23">
                  <c:v>2.9</c:v>
                </c:pt>
                <c:pt idx="24">
                  <c:v>3</c:v>
                </c:pt>
                <c:pt idx="25">
                  <c:v>3</c:v>
                </c:pt>
                <c:pt idx="26">
                  <c:v>3</c:v>
                </c:pt>
                <c:pt idx="27">
                  <c:v>3.1</c:v>
                </c:pt>
                <c:pt idx="28">
                  <c:v>3.1</c:v>
                </c:pt>
                <c:pt idx="29">
                  <c:v>3.1</c:v>
                </c:pt>
              </c:numCache>
            </c:numRef>
          </c:yVal>
          <c:smooth val="0"/>
        </c:ser>
        <c:ser>
          <c:idx val="1"/>
          <c:order val="1"/>
          <c:tx>
            <c:strRef>
              <c:f>signalplusnoise!$D$19</c:f>
              <c:strCache>
                <c:ptCount val="1"/>
                <c:pt idx="0">
                  <c:v>epsilon = noise</c:v>
                </c:pt>
              </c:strCache>
            </c:strRef>
          </c:tx>
          <c:spPr>
            <a:ln w="28575">
              <a:noFill/>
            </a:ln>
          </c:spPr>
          <c:marker>
            <c:symbol val="square"/>
            <c:size val="2"/>
          </c:marker>
          <c:xVal>
            <c:numRef>
              <c:f>signalplusnoise!$B$20:$B$49</c:f>
              <c:numCache>
                <c:formatCode>General</c:formatCode>
                <c:ptCount val="30"/>
                <c:pt idx="0">
                  <c:v>20</c:v>
                </c:pt>
                <c:pt idx="1">
                  <c:v>20</c:v>
                </c:pt>
                <c:pt idx="2">
                  <c:v>20</c:v>
                </c:pt>
                <c:pt idx="3">
                  <c:v>30</c:v>
                </c:pt>
                <c:pt idx="4">
                  <c:v>30</c:v>
                </c:pt>
                <c:pt idx="5">
                  <c:v>30</c:v>
                </c:pt>
                <c:pt idx="6">
                  <c:v>40</c:v>
                </c:pt>
                <c:pt idx="7">
                  <c:v>40</c:v>
                </c:pt>
                <c:pt idx="8">
                  <c:v>40</c:v>
                </c:pt>
                <c:pt idx="9">
                  <c:v>50</c:v>
                </c:pt>
                <c:pt idx="10">
                  <c:v>50</c:v>
                </c:pt>
                <c:pt idx="11">
                  <c:v>50</c:v>
                </c:pt>
                <c:pt idx="12">
                  <c:v>60</c:v>
                </c:pt>
                <c:pt idx="13">
                  <c:v>60</c:v>
                </c:pt>
                <c:pt idx="14">
                  <c:v>60</c:v>
                </c:pt>
                <c:pt idx="15">
                  <c:v>70</c:v>
                </c:pt>
                <c:pt idx="16">
                  <c:v>70</c:v>
                </c:pt>
                <c:pt idx="17">
                  <c:v>70</c:v>
                </c:pt>
                <c:pt idx="18">
                  <c:v>80</c:v>
                </c:pt>
                <c:pt idx="19">
                  <c:v>80</c:v>
                </c:pt>
                <c:pt idx="20">
                  <c:v>80</c:v>
                </c:pt>
                <c:pt idx="21">
                  <c:v>90</c:v>
                </c:pt>
                <c:pt idx="22">
                  <c:v>90</c:v>
                </c:pt>
                <c:pt idx="23">
                  <c:v>90</c:v>
                </c:pt>
                <c:pt idx="24">
                  <c:v>100</c:v>
                </c:pt>
                <c:pt idx="25">
                  <c:v>100</c:v>
                </c:pt>
                <c:pt idx="26">
                  <c:v>100</c:v>
                </c:pt>
                <c:pt idx="27">
                  <c:v>110</c:v>
                </c:pt>
                <c:pt idx="28">
                  <c:v>110</c:v>
                </c:pt>
                <c:pt idx="29">
                  <c:v>110</c:v>
                </c:pt>
              </c:numCache>
            </c:numRef>
          </c:xVal>
          <c:yVal>
            <c:numRef>
              <c:f>signalplusnoise!$D$20:$D$49</c:f>
              <c:numCache>
                <c:formatCode>General</c:formatCode>
                <c:ptCount val="30"/>
                <c:pt idx="0">
                  <c:v>-7.0340910045374835E-2</c:v>
                </c:pt>
                <c:pt idx="1">
                  <c:v>-8.7753524891160291E-3</c:v>
                </c:pt>
                <c:pt idx="2">
                  <c:v>7.4532841019136251E-2</c:v>
                </c:pt>
                <c:pt idx="3">
                  <c:v>9.5030151821942736E-3</c:v>
                </c:pt>
                <c:pt idx="4">
                  <c:v>0.14989599361626904</c:v>
                </c:pt>
                <c:pt idx="5">
                  <c:v>9.117100370764919E-2</c:v>
                </c:pt>
                <c:pt idx="6">
                  <c:v>-5.1885112325458851E-2</c:v>
                </c:pt>
                <c:pt idx="7">
                  <c:v>-5.7468888360066445E-2</c:v>
                </c:pt>
                <c:pt idx="8">
                  <c:v>-0.1299404108843317</c:v>
                </c:pt>
                <c:pt idx="9">
                  <c:v>3.7563982185723661E-2</c:v>
                </c:pt>
                <c:pt idx="10">
                  <c:v>-4.2157303787870339E-2</c:v>
                </c:pt>
                <c:pt idx="11">
                  <c:v>-0.13364440664345009</c:v>
                </c:pt>
                <c:pt idx="12">
                  <c:v>0.1374656952869682</c:v>
                </c:pt>
                <c:pt idx="13">
                  <c:v>3.2707885895088954E-3</c:v>
                </c:pt>
                <c:pt idx="14">
                  <c:v>-9.0135758364186969E-2</c:v>
                </c:pt>
                <c:pt idx="15">
                  <c:v>0.18260088915410402</c:v>
                </c:pt>
                <c:pt idx="16">
                  <c:v>5.0432076604715929E-2</c:v>
                </c:pt>
                <c:pt idx="17">
                  <c:v>0.21344434219209574</c:v>
                </c:pt>
                <c:pt idx="18">
                  <c:v>-0.13416442029901302</c:v>
                </c:pt>
                <c:pt idx="19">
                  <c:v>7.8077069727918768E-3</c:v>
                </c:pt>
                <c:pt idx="20">
                  <c:v>-4.2024660780558103E-3</c:v>
                </c:pt>
                <c:pt idx="21">
                  <c:v>-0.13539411596320969</c:v>
                </c:pt>
                <c:pt idx="22">
                  <c:v>2.6364583323792981E-3</c:v>
                </c:pt>
                <c:pt idx="23">
                  <c:v>0.11833782214155637</c:v>
                </c:pt>
                <c:pt idx="24">
                  <c:v>-9.2859765343719897E-2</c:v>
                </c:pt>
                <c:pt idx="25">
                  <c:v>-0.11949692104152693</c:v>
                </c:pt>
                <c:pt idx="26">
                  <c:v>-8.2267768664288754E-2</c:v>
                </c:pt>
                <c:pt idx="27">
                  <c:v>4.7906038788057374E-2</c:v>
                </c:pt>
                <c:pt idx="28">
                  <c:v>-5.535902344730334E-2</c:v>
                </c:pt>
                <c:pt idx="29">
                  <c:v>-0.18505637820572104</c:v>
                </c:pt>
              </c:numCache>
            </c:numRef>
          </c:yVal>
          <c:smooth val="0"/>
        </c:ser>
        <c:ser>
          <c:idx val="2"/>
          <c:order val="2"/>
          <c:tx>
            <c:strRef>
              <c:f>signalplusnoise!$E$19</c:f>
              <c:strCache>
                <c:ptCount val="1"/>
                <c:pt idx="0">
                  <c:v>observed: Y= signal + noise</c:v>
                </c:pt>
              </c:strCache>
            </c:strRef>
          </c:tx>
          <c:spPr>
            <a:ln w="28575">
              <a:noFill/>
            </a:ln>
          </c:spPr>
          <c:xVal>
            <c:numRef>
              <c:f>signalplusnoise!$B$20:$B$49</c:f>
              <c:numCache>
                <c:formatCode>General</c:formatCode>
                <c:ptCount val="30"/>
                <c:pt idx="0">
                  <c:v>20</c:v>
                </c:pt>
                <c:pt idx="1">
                  <c:v>20</c:v>
                </c:pt>
                <c:pt idx="2">
                  <c:v>20</c:v>
                </c:pt>
                <c:pt idx="3">
                  <c:v>30</c:v>
                </c:pt>
                <c:pt idx="4">
                  <c:v>30</c:v>
                </c:pt>
                <c:pt idx="5">
                  <c:v>30</c:v>
                </c:pt>
                <c:pt idx="6">
                  <c:v>40</c:v>
                </c:pt>
                <c:pt idx="7">
                  <c:v>40</c:v>
                </c:pt>
                <c:pt idx="8">
                  <c:v>40</c:v>
                </c:pt>
                <c:pt idx="9">
                  <c:v>50</c:v>
                </c:pt>
                <c:pt idx="10">
                  <c:v>50</c:v>
                </c:pt>
                <c:pt idx="11">
                  <c:v>50</c:v>
                </c:pt>
                <c:pt idx="12">
                  <c:v>60</c:v>
                </c:pt>
                <c:pt idx="13">
                  <c:v>60</c:v>
                </c:pt>
                <c:pt idx="14">
                  <c:v>60</c:v>
                </c:pt>
                <c:pt idx="15">
                  <c:v>70</c:v>
                </c:pt>
                <c:pt idx="16">
                  <c:v>70</c:v>
                </c:pt>
                <c:pt idx="17">
                  <c:v>70</c:v>
                </c:pt>
                <c:pt idx="18">
                  <c:v>80</c:v>
                </c:pt>
                <c:pt idx="19">
                  <c:v>80</c:v>
                </c:pt>
                <c:pt idx="20">
                  <c:v>80</c:v>
                </c:pt>
                <c:pt idx="21">
                  <c:v>90</c:v>
                </c:pt>
                <c:pt idx="22">
                  <c:v>90</c:v>
                </c:pt>
                <c:pt idx="23">
                  <c:v>90</c:v>
                </c:pt>
                <c:pt idx="24">
                  <c:v>100</c:v>
                </c:pt>
                <c:pt idx="25">
                  <c:v>100</c:v>
                </c:pt>
                <c:pt idx="26">
                  <c:v>100</c:v>
                </c:pt>
                <c:pt idx="27">
                  <c:v>110</c:v>
                </c:pt>
                <c:pt idx="28">
                  <c:v>110</c:v>
                </c:pt>
                <c:pt idx="29">
                  <c:v>110</c:v>
                </c:pt>
              </c:numCache>
            </c:numRef>
          </c:xVal>
          <c:yVal>
            <c:numRef>
              <c:f>signalplusnoise!$E$20:$E$49</c:f>
              <c:numCache>
                <c:formatCode>General</c:formatCode>
                <c:ptCount val="30"/>
                <c:pt idx="0">
                  <c:v>2.1296590899546253</c:v>
                </c:pt>
                <c:pt idx="1">
                  <c:v>2.1912246475108841</c:v>
                </c:pt>
                <c:pt idx="2">
                  <c:v>2.2745328410191363</c:v>
                </c:pt>
                <c:pt idx="3">
                  <c:v>2.309503015182194</c:v>
                </c:pt>
                <c:pt idx="4">
                  <c:v>2.449895993616269</c:v>
                </c:pt>
                <c:pt idx="5">
                  <c:v>2.3911710037076492</c:v>
                </c:pt>
                <c:pt idx="6">
                  <c:v>2.3481148876745412</c:v>
                </c:pt>
                <c:pt idx="7">
                  <c:v>2.3425311116399334</c:v>
                </c:pt>
                <c:pt idx="8">
                  <c:v>2.2700595891156681</c:v>
                </c:pt>
                <c:pt idx="9">
                  <c:v>2.5375639821857239</c:v>
                </c:pt>
                <c:pt idx="10">
                  <c:v>2.4578426962121296</c:v>
                </c:pt>
                <c:pt idx="11">
                  <c:v>2.3663555933565501</c:v>
                </c:pt>
                <c:pt idx="12">
                  <c:v>2.7374656952869683</c:v>
                </c:pt>
                <c:pt idx="13">
                  <c:v>2.603270788589509</c:v>
                </c:pt>
                <c:pt idx="14">
                  <c:v>2.509864241635813</c:v>
                </c:pt>
                <c:pt idx="15">
                  <c:v>2.8826008891541042</c:v>
                </c:pt>
                <c:pt idx="16">
                  <c:v>2.7504320766047159</c:v>
                </c:pt>
                <c:pt idx="17">
                  <c:v>2.9134443421920961</c:v>
                </c:pt>
                <c:pt idx="18">
                  <c:v>2.6658355797009867</c:v>
                </c:pt>
                <c:pt idx="19">
                  <c:v>2.8078077069727918</c:v>
                </c:pt>
                <c:pt idx="20">
                  <c:v>2.7957975339219439</c:v>
                </c:pt>
                <c:pt idx="21">
                  <c:v>2.7646058840367904</c:v>
                </c:pt>
                <c:pt idx="22">
                  <c:v>2.9026364583323794</c:v>
                </c:pt>
                <c:pt idx="23">
                  <c:v>3.0183378221415564</c:v>
                </c:pt>
                <c:pt idx="24">
                  <c:v>2.9071402346562802</c:v>
                </c:pt>
                <c:pt idx="25">
                  <c:v>2.8805030789584731</c:v>
                </c:pt>
                <c:pt idx="26">
                  <c:v>2.9177322313357115</c:v>
                </c:pt>
                <c:pt idx="27">
                  <c:v>3.1479060387880575</c:v>
                </c:pt>
                <c:pt idx="28">
                  <c:v>3.0446409765526967</c:v>
                </c:pt>
                <c:pt idx="29">
                  <c:v>2.9149436217942792</c:v>
                </c:pt>
              </c:numCache>
            </c:numRef>
          </c:yVal>
          <c:smooth val="0"/>
        </c:ser>
        <c:dLbls>
          <c:showLegendKey val="0"/>
          <c:showVal val="0"/>
          <c:showCatName val="0"/>
          <c:showSerName val="0"/>
          <c:showPercent val="0"/>
          <c:showBubbleSize val="0"/>
        </c:dLbls>
        <c:axId val="85979904"/>
        <c:axId val="85981440"/>
      </c:scatterChart>
      <c:valAx>
        <c:axId val="85979904"/>
        <c:scaling>
          <c:orientation val="minMax"/>
        </c:scaling>
        <c:delete val="0"/>
        <c:axPos val="b"/>
        <c:numFmt formatCode="General" sourceLinked="1"/>
        <c:majorTickMark val="out"/>
        <c:minorTickMark val="none"/>
        <c:tickLblPos val="nextTo"/>
        <c:crossAx val="85981440"/>
        <c:crosses val="autoZero"/>
        <c:crossBetween val="midCat"/>
      </c:valAx>
      <c:valAx>
        <c:axId val="85981440"/>
        <c:scaling>
          <c:orientation val="minMax"/>
          <c:max val="4"/>
          <c:min val="-2"/>
        </c:scaling>
        <c:delete val="0"/>
        <c:axPos val="l"/>
        <c:majorGridlines/>
        <c:numFmt formatCode="General" sourceLinked="1"/>
        <c:majorTickMark val="out"/>
        <c:minorTickMark val="none"/>
        <c:tickLblPos val="nextTo"/>
        <c:crossAx val="85979904"/>
        <c:crosses val="autoZero"/>
        <c:crossBetween val="midCat"/>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correlcoef!$D$30</c:f>
              <c:strCache>
                <c:ptCount val="1"/>
                <c:pt idx="0">
                  <c:v>Airfare ($)</c:v>
                </c:pt>
              </c:strCache>
            </c:strRef>
          </c:tx>
          <c:spPr>
            <a:ln w="28575">
              <a:noFill/>
            </a:ln>
          </c:spPr>
          <c:xVal>
            <c:numRef>
              <c:f>correlcoef!$C$31:$C$42</c:f>
              <c:numCache>
                <c:formatCode>General</c:formatCode>
                <c:ptCount val="12"/>
                <c:pt idx="0">
                  <c:v>576</c:v>
                </c:pt>
                <c:pt idx="1">
                  <c:v>370</c:v>
                </c:pt>
                <c:pt idx="2">
                  <c:v>612</c:v>
                </c:pt>
                <c:pt idx="3">
                  <c:v>1216</c:v>
                </c:pt>
                <c:pt idx="4">
                  <c:v>409</c:v>
                </c:pt>
                <c:pt idx="5">
                  <c:v>1502</c:v>
                </c:pt>
                <c:pt idx="6">
                  <c:v>946</c:v>
                </c:pt>
                <c:pt idx="7">
                  <c:v>998</c:v>
                </c:pt>
                <c:pt idx="8">
                  <c:v>189</c:v>
                </c:pt>
                <c:pt idx="9">
                  <c:v>787</c:v>
                </c:pt>
                <c:pt idx="10">
                  <c:v>210</c:v>
                </c:pt>
                <c:pt idx="11">
                  <c:v>737</c:v>
                </c:pt>
              </c:numCache>
            </c:numRef>
          </c:xVal>
          <c:yVal>
            <c:numRef>
              <c:f>correlcoef!$D$31:$D$42</c:f>
              <c:numCache>
                <c:formatCode>"$"#,##0.00</c:formatCode>
                <c:ptCount val="12"/>
                <c:pt idx="0">
                  <c:v>178</c:v>
                </c:pt>
                <c:pt idx="1">
                  <c:v>138</c:v>
                </c:pt>
                <c:pt idx="2">
                  <c:v>94</c:v>
                </c:pt>
                <c:pt idx="3">
                  <c:v>278</c:v>
                </c:pt>
                <c:pt idx="4">
                  <c:v>158</c:v>
                </c:pt>
                <c:pt idx="5">
                  <c:v>258</c:v>
                </c:pt>
                <c:pt idx="6">
                  <c:v>198</c:v>
                </c:pt>
                <c:pt idx="7">
                  <c:v>188</c:v>
                </c:pt>
                <c:pt idx="8">
                  <c:v>98</c:v>
                </c:pt>
                <c:pt idx="9">
                  <c:v>179</c:v>
                </c:pt>
                <c:pt idx="10">
                  <c:v>138</c:v>
                </c:pt>
                <c:pt idx="11">
                  <c:v>98</c:v>
                </c:pt>
              </c:numCache>
            </c:numRef>
          </c:yVal>
          <c:smooth val="0"/>
        </c:ser>
        <c:dLbls>
          <c:showLegendKey val="0"/>
          <c:showVal val="0"/>
          <c:showCatName val="0"/>
          <c:showSerName val="0"/>
          <c:showPercent val="0"/>
          <c:showBubbleSize val="0"/>
        </c:dLbls>
        <c:axId val="95452544"/>
        <c:axId val="95478912"/>
      </c:scatterChart>
      <c:valAx>
        <c:axId val="95452544"/>
        <c:scaling>
          <c:orientation val="minMax"/>
        </c:scaling>
        <c:delete val="0"/>
        <c:axPos val="b"/>
        <c:numFmt formatCode="General" sourceLinked="1"/>
        <c:majorTickMark val="out"/>
        <c:minorTickMark val="none"/>
        <c:tickLblPos val="nextTo"/>
        <c:crossAx val="95478912"/>
        <c:crosses val="autoZero"/>
        <c:crossBetween val="midCat"/>
      </c:valAx>
      <c:valAx>
        <c:axId val="95478912"/>
        <c:scaling>
          <c:orientation val="minMax"/>
        </c:scaling>
        <c:delete val="0"/>
        <c:axPos val="l"/>
        <c:numFmt formatCode="&quot;$&quot;#,##0.00" sourceLinked="1"/>
        <c:majorTickMark val="out"/>
        <c:minorTickMark val="none"/>
        <c:tickLblPos val="nextTo"/>
        <c:crossAx val="95452544"/>
        <c:crosses val="autoZero"/>
        <c:crossBetween val="midCat"/>
      </c:valAx>
    </c:plotArea>
    <c:legend>
      <c:legendPos val="r"/>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Standardized</a:t>
            </a:r>
          </a:p>
        </c:rich>
      </c:tx>
      <c:overlay val="0"/>
    </c:title>
    <c:autoTitleDeleted val="0"/>
    <c:plotArea>
      <c:layout/>
      <c:scatterChart>
        <c:scatterStyle val="lineMarker"/>
        <c:varyColors val="0"/>
        <c:ser>
          <c:idx val="0"/>
          <c:order val="0"/>
          <c:tx>
            <c:strRef>
              <c:f>correlcoef!$F$30</c:f>
              <c:strCache>
                <c:ptCount val="1"/>
                <c:pt idx="0">
                  <c:v>Zy</c:v>
                </c:pt>
              </c:strCache>
            </c:strRef>
          </c:tx>
          <c:spPr>
            <a:ln w="28575">
              <a:noFill/>
            </a:ln>
          </c:spPr>
          <c:xVal>
            <c:numRef>
              <c:f>correlcoef!$E$31:$E$42</c:f>
              <c:numCache>
                <c:formatCode>General</c:formatCode>
                <c:ptCount val="12"/>
                <c:pt idx="0">
                  <c:v>-0.339387820527422</c:v>
                </c:pt>
                <c:pt idx="1">
                  <c:v>-0.85095287683460952</c:v>
                </c:pt>
                <c:pt idx="2">
                  <c:v>-0.24998810194946694</c:v>
                </c:pt>
                <c:pt idx="3">
                  <c:v>1.2499405097473353</c:v>
                </c:pt>
                <c:pt idx="4">
                  <c:v>-0.75410318170849144</c:v>
                </c:pt>
                <c:pt idx="5">
                  <c:v>1.9601716073388673</c:v>
                </c:pt>
                <c:pt idx="6">
                  <c:v>0.57944262041267203</c:v>
                </c:pt>
                <c:pt idx="7">
                  <c:v>0.70857554724749605</c:v>
                </c:pt>
                <c:pt idx="8">
                  <c:v>-1.3004347952404394</c:v>
                </c:pt>
                <c:pt idx="9">
                  <c:v>0.184593863360037</c:v>
                </c:pt>
                <c:pt idx="10">
                  <c:v>-1.2482849594032988</c:v>
                </c:pt>
                <c:pt idx="11">
                  <c:v>6.0427587557321596E-2</c:v>
                </c:pt>
              </c:numCache>
            </c:numRef>
          </c:xVal>
          <c:yVal>
            <c:numRef>
              <c:f>correlcoef!$F$31:$F$42</c:f>
              <c:numCache>
                <c:formatCode>General</c:formatCode>
                <c:ptCount val="12"/>
                <c:pt idx="0">
                  <c:v>0.18641777503992973</c:v>
                </c:pt>
                <c:pt idx="1">
                  <c:v>-0.48636817999139503</c:v>
                </c:pt>
                <c:pt idx="2">
                  <c:v>-1.2264327305258522</c:v>
                </c:pt>
                <c:pt idx="3">
                  <c:v>1.8683826626182418</c:v>
                </c:pt>
                <c:pt idx="4">
                  <c:v>-0.14997520247573265</c:v>
                </c:pt>
                <c:pt idx="5">
                  <c:v>1.5319896851025794</c:v>
                </c:pt>
                <c:pt idx="6">
                  <c:v>0.52281075255559217</c:v>
                </c:pt>
                <c:pt idx="7">
                  <c:v>0.35461426379776095</c:v>
                </c:pt>
                <c:pt idx="8">
                  <c:v>-1.1591541350227199</c:v>
                </c:pt>
                <c:pt idx="9">
                  <c:v>0.20323742391571287</c:v>
                </c:pt>
                <c:pt idx="10">
                  <c:v>-0.48636817999139503</c:v>
                </c:pt>
                <c:pt idx="11">
                  <c:v>-1.1591541350227199</c:v>
                </c:pt>
              </c:numCache>
            </c:numRef>
          </c:yVal>
          <c:smooth val="0"/>
        </c:ser>
        <c:dLbls>
          <c:showLegendKey val="0"/>
          <c:showVal val="0"/>
          <c:showCatName val="0"/>
          <c:showSerName val="0"/>
          <c:showPercent val="0"/>
          <c:showBubbleSize val="0"/>
        </c:dLbls>
        <c:axId val="97482240"/>
        <c:axId val="97484160"/>
      </c:scatterChart>
      <c:valAx>
        <c:axId val="97482240"/>
        <c:scaling>
          <c:orientation val="minMax"/>
        </c:scaling>
        <c:delete val="0"/>
        <c:axPos val="b"/>
        <c:title>
          <c:tx>
            <c:rich>
              <a:bodyPr/>
              <a:lstStyle/>
              <a:p>
                <a:pPr>
                  <a:defRPr/>
                </a:pPr>
                <a:r>
                  <a:rPr lang="en-US"/>
                  <a:t>Zx</a:t>
                </a:r>
              </a:p>
            </c:rich>
          </c:tx>
          <c:overlay val="0"/>
        </c:title>
        <c:numFmt formatCode="General" sourceLinked="1"/>
        <c:majorTickMark val="out"/>
        <c:minorTickMark val="none"/>
        <c:tickLblPos val="nextTo"/>
        <c:crossAx val="97484160"/>
        <c:crosses val="autoZero"/>
        <c:crossBetween val="midCat"/>
      </c:valAx>
      <c:valAx>
        <c:axId val="97484160"/>
        <c:scaling>
          <c:orientation val="minMax"/>
        </c:scaling>
        <c:delete val="0"/>
        <c:axPos val="l"/>
        <c:title>
          <c:tx>
            <c:rich>
              <a:bodyPr rot="-5400000" vert="horz"/>
              <a:lstStyle/>
              <a:p>
                <a:pPr>
                  <a:defRPr/>
                </a:pPr>
                <a:r>
                  <a:rPr lang="en-US"/>
                  <a:t>Zy</a:t>
                </a:r>
              </a:p>
            </c:rich>
          </c:tx>
          <c:overlay val="0"/>
        </c:title>
        <c:numFmt formatCode="General" sourceLinked="1"/>
        <c:majorTickMark val="out"/>
        <c:minorTickMark val="none"/>
        <c:tickLblPos val="nextTo"/>
        <c:crossAx val="97482240"/>
        <c:crosses val="autoZero"/>
        <c:crossBetween val="midCat"/>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original</a:t>
            </a:r>
            <a:r>
              <a:rPr lang="en-US" baseline="0"/>
              <a:t> x and y</a:t>
            </a:r>
            <a:endParaRPr lang="en-US"/>
          </a:p>
        </c:rich>
      </c:tx>
      <c:overlay val="0"/>
    </c:title>
    <c:autoTitleDeleted val="0"/>
    <c:plotArea>
      <c:layout/>
      <c:scatterChart>
        <c:scatterStyle val="lineMarker"/>
        <c:varyColors val="0"/>
        <c:ser>
          <c:idx val="0"/>
          <c:order val="0"/>
          <c:tx>
            <c:strRef>
              <c:f>correlcoef!$D$77</c:f>
              <c:strCache>
                <c:ptCount val="1"/>
                <c:pt idx="0">
                  <c:v>y</c:v>
                </c:pt>
              </c:strCache>
            </c:strRef>
          </c:tx>
          <c:spPr>
            <a:ln w="28575">
              <a:noFill/>
            </a:ln>
          </c:spPr>
          <c:trendline>
            <c:trendlineType val="linear"/>
            <c:dispRSqr val="1"/>
            <c:dispEq val="1"/>
            <c:trendlineLbl>
              <c:layout>
                <c:manualLayout>
                  <c:x val="0.1258073053368329"/>
                  <c:y val="-0.32489683581219037"/>
                </c:manualLayout>
              </c:layout>
              <c:numFmt formatCode="General" sourceLinked="0"/>
            </c:trendlineLbl>
          </c:trendline>
          <c:xVal>
            <c:numRef>
              <c:f>correlcoef!$C$78:$C$80</c:f>
              <c:numCache>
                <c:formatCode>General</c:formatCode>
                <c:ptCount val="3"/>
                <c:pt idx="0">
                  <c:v>2</c:v>
                </c:pt>
                <c:pt idx="1">
                  <c:v>3</c:v>
                </c:pt>
                <c:pt idx="2">
                  <c:v>7</c:v>
                </c:pt>
              </c:numCache>
            </c:numRef>
          </c:xVal>
          <c:yVal>
            <c:numRef>
              <c:f>correlcoef!$D$78:$D$80</c:f>
              <c:numCache>
                <c:formatCode>General</c:formatCode>
                <c:ptCount val="3"/>
                <c:pt idx="0">
                  <c:v>1</c:v>
                </c:pt>
                <c:pt idx="1">
                  <c:v>5</c:v>
                </c:pt>
                <c:pt idx="2">
                  <c:v>9</c:v>
                </c:pt>
              </c:numCache>
            </c:numRef>
          </c:yVal>
          <c:smooth val="0"/>
        </c:ser>
        <c:dLbls>
          <c:showLegendKey val="0"/>
          <c:showVal val="0"/>
          <c:showCatName val="0"/>
          <c:showSerName val="0"/>
          <c:showPercent val="0"/>
          <c:showBubbleSize val="0"/>
        </c:dLbls>
        <c:axId val="97518336"/>
        <c:axId val="97519872"/>
      </c:scatterChart>
      <c:valAx>
        <c:axId val="97518336"/>
        <c:scaling>
          <c:orientation val="minMax"/>
        </c:scaling>
        <c:delete val="0"/>
        <c:axPos val="b"/>
        <c:numFmt formatCode="General" sourceLinked="1"/>
        <c:majorTickMark val="out"/>
        <c:minorTickMark val="none"/>
        <c:tickLblPos val="nextTo"/>
        <c:crossAx val="97519872"/>
        <c:crosses val="autoZero"/>
        <c:crossBetween val="midCat"/>
      </c:valAx>
      <c:valAx>
        <c:axId val="97519872"/>
        <c:scaling>
          <c:orientation val="minMax"/>
        </c:scaling>
        <c:delete val="0"/>
        <c:axPos val="l"/>
        <c:numFmt formatCode="General" sourceLinked="1"/>
        <c:majorTickMark val="out"/>
        <c:minorTickMark val="none"/>
        <c:tickLblPos val="nextTo"/>
        <c:crossAx val="97518336"/>
        <c:crosses val="autoZero"/>
        <c:crossBetween val="midCat"/>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Zx</a:t>
            </a:r>
            <a:r>
              <a:rPr lang="en-US" baseline="0"/>
              <a:t> and Zy</a:t>
            </a:r>
            <a:endParaRPr lang="en-US"/>
          </a:p>
        </c:rich>
      </c:tx>
      <c:overlay val="0"/>
    </c:title>
    <c:autoTitleDeleted val="0"/>
    <c:plotArea>
      <c:layout/>
      <c:scatterChart>
        <c:scatterStyle val="lineMarker"/>
        <c:varyColors val="0"/>
        <c:ser>
          <c:idx val="0"/>
          <c:order val="0"/>
          <c:tx>
            <c:strRef>
              <c:f>correlcoef!$F$77</c:f>
              <c:strCache>
                <c:ptCount val="1"/>
                <c:pt idx="0">
                  <c:v>Zy</c:v>
                </c:pt>
              </c:strCache>
            </c:strRef>
          </c:tx>
          <c:spPr>
            <a:ln w="28575">
              <a:noFill/>
            </a:ln>
          </c:spPr>
          <c:trendline>
            <c:trendlineType val="linear"/>
            <c:dispRSqr val="1"/>
            <c:dispEq val="1"/>
            <c:trendlineLbl>
              <c:layout>
                <c:manualLayout>
                  <c:x val="7.625634295713038E-2"/>
                  <c:y val="-0.49601268591426112"/>
                </c:manualLayout>
              </c:layout>
              <c:numFmt formatCode="General" sourceLinked="0"/>
            </c:trendlineLbl>
          </c:trendline>
          <c:xVal>
            <c:numRef>
              <c:f>correlcoef!$E$78:$E$80</c:f>
              <c:numCache>
                <c:formatCode>General</c:formatCode>
                <c:ptCount val="3"/>
                <c:pt idx="0">
                  <c:v>-0.7559289460184544</c:v>
                </c:pt>
                <c:pt idx="1">
                  <c:v>-0.3779644730092272</c:v>
                </c:pt>
                <c:pt idx="2">
                  <c:v>1.1338934190276817</c:v>
                </c:pt>
              </c:numCache>
            </c:numRef>
          </c:xVal>
          <c:yVal>
            <c:numRef>
              <c:f>correlcoef!$F$78:$F$80</c:f>
              <c:numCache>
                <c:formatCode>General</c:formatCode>
                <c:ptCount val="3"/>
                <c:pt idx="0">
                  <c:v>-1</c:v>
                </c:pt>
                <c:pt idx="1">
                  <c:v>0</c:v>
                </c:pt>
                <c:pt idx="2">
                  <c:v>1</c:v>
                </c:pt>
              </c:numCache>
            </c:numRef>
          </c:yVal>
          <c:smooth val="0"/>
        </c:ser>
        <c:dLbls>
          <c:showLegendKey val="0"/>
          <c:showVal val="0"/>
          <c:showCatName val="0"/>
          <c:showSerName val="0"/>
          <c:showPercent val="0"/>
          <c:showBubbleSize val="0"/>
        </c:dLbls>
        <c:axId val="97549312"/>
        <c:axId val="97551104"/>
      </c:scatterChart>
      <c:valAx>
        <c:axId val="97549312"/>
        <c:scaling>
          <c:orientation val="minMax"/>
        </c:scaling>
        <c:delete val="0"/>
        <c:axPos val="b"/>
        <c:numFmt formatCode="General" sourceLinked="1"/>
        <c:majorTickMark val="out"/>
        <c:minorTickMark val="none"/>
        <c:tickLblPos val="nextTo"/>
        <c:crossAx val="97551104"/>
        <c:crosses val="autoZero"/>
        <c:crossBetween val="midCat"/>
      </c:valAx>
      <c:valAx>
        <c:axId val="97551104"/>
        <c:scaling>
          <c:orientation val="minMax"/>
        </c:scaling>
        <c:delete val="0"/>
        <c:axPos val="l"/>
        <c:numFmt formatCode="General" sourceLinked="1"/>
        <c:majorTickMark val="out"/>
        <c:minorTickMark val="none"/>
        <c:tickLblPos val="nextTo"/>
        <c:crossAx val="97549312"/>
        <c:crosses val="autoZero"/>
        <c:crossBetween val="midCat"/>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correl_of_0!$D$7</c:f>
              <c:strCache>
                <c:ptCount val="1"/>
                <c:pt idx="0">
                  <c:v>y=Average finish time (minutes)</c:v>
                </c:pt>
              </c:strCache>
            </c:strRef>
          </c:tx>
          <c:spPr>
            <a:ln w="28575">
              <a:noFill/>
            </a:ln>
          </c:spPr>
          <c:trendline>
            <c:trendlineType val="linear"/>
            <c:dispRSqr val="1"/>
            <c:dispEq val="1"/>
            <c:trendlineLbl>
              <c:layout>
                <c:manualLayout>
                  <c:x val="0.41147309711286101"/>
                  <c:y val="-0.16173228346456694"/>
                </c:manualLayout>
              </c:layout>
              <c:numFmt formatCode="General" sourceLinked="0"/>
            </c:trendlineLbl>
          </c:trendline>
          <c:xVal>
            <c:numRef>
              <c:f>correl_of_0!$C$8:$C$13</c:f>
              <c:numCache>
                <c:formatCode>General</c:formatCode>
                <c:ptCount val="6"/>
                <c:pt idx="0">
                  <c:v>15</c:v>
                </c:pt>
                <c:pt idx="1">
                  <c:v>25</c:v>
                </c:pt>
                <c:pt idx="2">
                  <c:v>35</c:v>
                </c:pt>
                <c:pt idx="3">
                  <c:v>45</c:v>
                </c:pt>
                <c:pt idx="4">
                  <c:v>55</c:v>
                </c:pt>
                <c:pt idx="5">
                  <c:v>65</c:v>
                </c:pt>
              </c:numCache>
            </c:numRef>
          </c:xVal>
          <c:yVal>
            <c:numRef>
              <c:f>correl_of_0!$D$8:$D$13</c:f>
              <c:numCache>
                <c:formatCode>General</c:formatCode>
                <c:ptCount val="6"/>
                <c:pt idx="0">
                  <c:v>302.38</c:v>
                </c:pt>
                <c:pt idx="1">
                  <c:v>193.63</c:v>
                </c:pt>
                <c:pt idx="2">
                  <c:v>185.46</c:v>
                </c:pt>
                <c:pt idx="3">
                  <c:v>198.49</c:v>
                </c:pt>
                <c:pt idx="4">
                  <c:v>224.3</c:v>
                </c:pt>
                <c:pt idx="5">
                  <c:v>288.70999999999998</c:v>
                </c:pt>
              </c:numCache>
            </c:numRef>
          </c:yVal>
          <c:smooth val="0"/>
        </c:ser>
        <c:dLbls>
          <c:showLegendKey val="0"/>
          <c:showVal val="0"/>
          <c:showCatName val="0"/>
          <c:showSerName val="0"/>
          <c:showPercent val="0"/>
          <c:showBubbleSize val="0"/>
        </c:dLbls>
        <c:axId val="95876992"/>
        <c:axId val="95887360"/>
      </c:scatterChart>
      <c:valAx>
        <c:axId val="95876992"/>
        <c:scaling>
          <c:orientation val="minMax"/>
        </c:scaling>
        <c:delete val="0"/>
        <c:axPos val="b"/>
        <c:title>
          <c:tx>
            <c:rich>
              <a:bodyPr/>
              <a:lstStyle/>
              <a:p>
                <a:pPr>
                  <a:defRPr/>
                </a:pPr>
                <a:r>
                  <a:rPr lang="en-US"/>
                  <a:t>age midpoint of age group (years)</a:t>
                </a:r>
              </a:p>
            </c:rich>
          </c:tx>
          <c:overlay val="0"/>
        </c:title>
        <c:numFmt formatCode="General" sourceLinked="1"/>
        <c:majorTickMark val="out"/>
        <c:minorTickMark val="none"/>
        <c:tickLblPos val="nextTo"/>
        <c:crossAx val="95887360"/>
        <c:crosses val="autoZero"/>
        <c:crossBetween val="midCat"/>
      </c:valAx>
      <c:valAx>
        <c:axId val="95887360"/>
        <c:scaling>
          <c:orientation val="minMax"/>
        </c:scaling>
        <c:delete val="0"/>
        <c:axPos val="l"/>
        <c:majorGridlines/>
        <c:title>
          <c:tx>
            <c:rich>
              <a:bodyPr rot="-5400000" vert="horz"/>
              <a:lstStyle/>
              <a:p>
                <a:pPr>
                  <a:defRPr/>
                </a:pPr>
                <a:r>
                  <a:rPr lang="en-US"/>
                  <a:t>Average finish time (minutes)</a:t>
                </a:r>
              </a:p>
            </c:rich>
          </c:tx>
          <c:overlay val="0"/>
        </c:title>
        <c:numFmt formatCode="General" sourceLinked="1"/>
        <c:majorTickMark val="out"/>
        <c:minorTickMark val="none"/>
        <c:tickLblPos val="nextTo"/>
        <c:crossAx val="95876992"/>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correl_of_0!$C$47</c:f>
              <c:strCache>
                <c:ptCount val="1"/>
                <c:pt idx="0">
                  <c:v>y</c:v>
                </c:pt>
              </c:strCache>
            </c:strRef>
          </c:tx>
          <c:spPr>
            <a:ln w="28575">
              <a:noFill/>
            </a:ln>
          </c:spPr>
          <c:trendline>
            <c:trendlineType val="linear"/>
            <c:dispRSqr val="1"/>
            <c:dispEq val="1"/>
            <c:trendlineLbl>
              <c:layout>
                <c:manualLayout>
                  <c:x val="0.40749234470691165"/>
                  <c:y val="-0.13974263633712453"/>
                </c:manualLayout>
              </c:layout>
              <c:numFmt formatCode="General" sourceLinked="0"/>
            </c:trendlineLbl>
          </c:trendline>
          <c:xVal>
            <c:numRef>
              <c:f>correl_of_0!$B$48:$B$50</c:f>
              <c:numCache>
                <c:formatCode>General</c:formatCode>
                <c:ptCount val="3"/>
                <c:pt idx="0">
                  <c:v>1</c:v>
                </c:pt>
                <c:pt idx="1">
                  <c:v>2</c:v>
                </c:pt>
                <c:pt idx="2">
                  <c:v>3</c:v>
                </c:pt>
              </c:numCache>
            </c:numRef>
          </c:xVal>
          <c:yVal>
            <c:numRef>
              <c:f>correl_of_0!$C$48:$C$50</c:f>
              <c:numCache>
                <c:formatCode>General</c:formatCode>
                <c:ptCount val="3"/>
                <c:pt idx="0">
                  <c:v>5</c:v>
                </c:pt>
                <c:pt idx="1">
                  <c:v>5</c:v>
                </c:pt>
                <c:pt idx="2">
                  <c:v>5</c:v>
                </c:pt>
              </c:numCache>
            </c:numRef>
          </c:yVal>
          <c:smooth val="0"/>
        </c:ser>
        <c:dLbls>
          <c:showLegendKey val="0"/>
          <c:showVal val="0"/>
          <c:showCatName val="0"/>
          <c:showSerName val="0"/>
          <c:showPercent val="0"/>
          <c:showBubbleSize val="0"/>
        </c:dLbls>
        <c:axId val="95912704"/>
        <c:axId val="95914240"/>
      </c:scatterChart>
      <c:valAx>
        <c:axId val="95912704"/>
        <c:scaling>
          <c:orientation val="minMax"/>
        </c:scaling>
        <c:delete val="0"/>
        <c:axPos val="b"/>
        <c:numFmt formatCode="General" sourceLinked="1"/>
        <c:majorTickMark val="out"/>
        <c:minorTickMark val="none"/>
        <c:tickLblPos val="nextTo"/>
        <c:crossAx val="95914240"/>
        <c:crosses val="autoZero"/>
        <c:crossBetween val="midCat"/>
      </c:valAx>
      <c:valAx>
        <c:axId val="95914240"/>
        <c:scaling>
          <c:orientation val="minMax"/>
        </c:scaling>
        <c:delete val="0"/>
        <c:axPos val="l"/>
        <c:numFmt formatCode="General" sourceLinked="1"/>
        <c:majorTickMark val="out"/>
        <c:minorTickMark val="none"/>
        <c:tickLblPos val="nextTo"/>
        <c:crossAx val="95912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correl_of_0!$C$69</c:f>
              <c:strCache>
                <c:ptCount val="1"/>
                <c:pt idx="0">
                  <c:v>y</c:v>
                </c:pt>
              </c:strCache>
            </c:strRef>
          </c:tx>
          <c:spPr>
            <a:ln w="28575">
              <a:noFill/>
            </a:ln>
          </c:spPr>
          <c:trendline>
            <c:trendlineType val="linear"/>
            <c:dispRSqr val="1"/>
            <c:dispEq val="1"/>
            <c:trendlineLbl>
              <c:layout>
                <c:manualLayout>
                  <c:x val="0.47052728165076929"/>
                  <c:y val="-0.28453814240961817"/>
                </c:manualLayout>
              </c:layout>
              <c:numFmt formatCode="General" sourceLinked="0"/>
            </c:trendlineLbl>
          </c:trendline>
          <c:xVal>
            <c:numRef>
              <c:f>correl_of_0!$B$70:$B$72</c:f>
              <c:numCache>
                <c:formatCode>General</c:formatCode>
                <c:ptCount val="3"/>
                <c:pt idx="0">
                  <c:v>1</c:v>
                </c:pt>
                <c:pt idx="1">
                  <c:v>2</c:v>
                </c:pt>
                <c:pt idx="2">
                  <c:v>3</c:v>
                </c:pt>
              </c:numCache>
            </c:numRef>
          </c:xVal>
          <c:yVal>
            <c:numRef>
              <c:f>correl_of_0!$C$70:$C$72</c:f>
              <c:numCache>
                <c:formatCode>General</c:formatCode>
                <c:ptCount val="3"/>
                <c:pt idx="0">
                  <c:v>5.01</c:v>
                </c:pt>
                <c:pt idx="1">
                  <c:v>5.0199999999999996</c:v>
                </c:pt>
                <c:pt idx="2">
                  <c:v>5.03</c:v>
                </c:pt>
              </c:numCache>
            </c:numRef>
          </c:yVal>
          <c:smooth val="0"/>
        </c:ser>
        <c:dLbls>
          <c:showLegendKey val="0"/>
          <c:showVal val="0"/>
          <c:showCatName val="0"/>
          <c:showSerName val="0"/>
          <c:showPercent val="0"/>
          <c:showBubbleSize val="0"/>
        </c:dLbls>
        <c:axId val="95935488"/>
        <c:axId val="95953664"/>
      </c:scatterChart>
      <c:valAx>
        <c:axId val="95935488"/>
        <c:scaling>
          <c:orientation val="minMax"/>
        </c:scaling>
        <c:delete val="0"/>
        <c:axPos val="b"/>
        <c:numFmt formatCode="General" sourceLinked="1"/>
        <c:majorTickMark val="out"/>
        <c:minorTickMark val="none"/>
        <c:tickLblPos val="nextTo"/>
        <c:crossAx val="95953664"/>
        <c:crosses val="autoZero"/>
        <c:crossBetween val="midCat"/>
      </c:valAx>
      <c:valAx>
        <c:axId val="95953664"/>
        <c:scaling>
          <c:orientation val="minMax"/>
        </c:scaling>
        <c:delete val="0"/>
        <c:axPos val="l"/>
        <c:numFmt formatCode="General" sourceLinked="1"/>
        <c:majorTickMark val="out"/>
        <c:minorTickMark val="none"/>
        <c:tickLblPos val="nextTo"/>
        <c:crossAx val="95935488"/>
        <c:crosses val="autoZero"/>
        <c:crossBetween val="midCat"/>
      </c:valAx>
    </c:plotArea>
    <c:legend>
      <c:legendPos val="r"/>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strRef>
              <c:f>correl_of_0!$C$56</c:f>
              <c:strCache>
                <c:ptCount val="1"/>
                <c:pt idx="0">
                  <c:v>y</c:v>
                </c:pt>
              </c:strCache>
            </c:strRef>
          </c:tx>
          <c:spPr>
            <a:ln w="28575">
              <a:noFill/>
            </a:ln>
          </c:spPr>
          <c:trendline>
            <c:trendlineType val="linear"/>
            <c:dispRSqr val="1"/>
            <c:dispEq val="1"/>
            <c:trendlineLbl>
              <c:layout>
                <c:manualLayout>
                  <c:x val="0.4168544316575814"/>
                  <c:y val="-0.38424817379755266"/>
                </c:manualLayout>
              </c:layout>
              <c:numFmt formatCode="General" sourceLinked="0"/>
            </c:trendlineLbl>
          </c:trendline>
          <c:xVal>
            <c:numRef>
              <c:f>correl_of_0!$B$57:$B$59</c:f>
              <c:numCache>
                <c:formatCode>General</c:formatCode>
                <c:ptCount val="3"/>
                <c:pt idx="0">
                  <c:v>1</c:v>
                </c:pt>
                <c:pt idx="1">
                  <c:v>2</c:v>
                </c:pt>
                <c:pt idx="2">
                  <c:v>3</c:v>
                </c:pt>
              </c:numCache>
            </c:numRef>
          </c:xVal>
          <c:yVal>
            <c:numRef>
              <c:f>correl_of_0!$C$57:$C$59</c:f>
              <c:numCache>
                <c:formatCode>General</c:formatCode>
                <c:ptCount val="3"/>
                <c:pt idx="0">
                  <c:v>5</c:v>
                </c:pt>
                <c:pt idx="1">
                  <c:v>5.01</c:v>
                </c:pt>
                <c:pt idx="2">
                  <c:v>5</c:v>
                </c:pt>
              </c:numCache>
            </c:numRef>
          </c:yVal>
          <c:smooth val="0"/>
        </c:ser>
        <c:dLbls>
          <c:showLegendKey val="0"/>
          <c:showVal val="0"/>
          <c:showCatName val="0"/>
          <c:showSerName val="0"/>
          <c:showPercent val="0"/>
          <c:showBubbleSize val="0"/>
        </c:dLbls>
        <c:axId val="95991296"/>
        <c:axId val="95992832"/>
      </c:scatterChart>
      <c:valAx>
        <c:axId val="95991296"/>
        <c:scaling>
          <c:orientation val="minMax"/>
        </c:scaling>
        <c:delete val="0"/>
        <c:axPos val="b"/>
        <c:numFmt formatCode="General" sourceLinked="1"/>
        <c:majorTickMark val="out"/>
        <c:minorTickMark val="none"/>
        <c:tickLblPos val="nextTo"/>
        <c:crossAx val="95992832"/>
        <c:crosses val="autoZero"/>
        <c:crossBetween val="midCat"/>
      </c:valAx>
      <c:valAx>
        <c:axId val="95992832"/>
        <c:scaling>
          <c:orientation val="minMax"/>
        </c:scaling>
        <c:delete val="0"/>
        <c:axPos val="l"/>
        <c:numFmt formatCode="General" sourceLinked="1"/>
        <c:majorTickMark val="out"/>
        <c:minorTickMark val="none"/>
        <c:tickLblPos val="nextTo"/>
        <c:crossAx val="95991296"/>
        <c:crosses val="autoZero"/>
        <c:crossBetween val="midCat"/>
      </c:valAx>
    </c:plotArea>
    <c:legend>
      <c:legendPos val="r"/>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switch_x_vs_y!$C$56</c:f>
              <c:strCache>
                <c:ptCount val="1"/>
                <c:pt idx="0">
                  <c:v>volume, L</c:v>
                </c:pt>
              </c:strCache>
            </c:strRef>
          </c:tx>
          <c:spPr>
            <a:ln w="28575">
              <a:noFill/>
            </a:ln>
          </c:spPr>
          <c:trendline>
            <c:trendlineType val="linear"/>
            <c:backward val="300"/>
            <c:dispRSqr val="1"/>
            <c:dispEq val="1"/>
            <c:trendlineLbl>
              <c:layout>
                <c:manualLayout>
                  <c:x val="5.0752187226596697E-2"/>
                  <c:y val="-0.18091462525517643"/>
                </c:manualLayout>
              </c:layout>
              <c:numFmt formatCode="General" sourceLinked="0"/>
            </c:trendlineLbl>
          </c:trendline>
          <c:xVal>
            <c:numRef>
              <c:f>switch_x_vs_y!$B$57:$B$68</c:f>
              <c:numCache>
                <c:formatCode>General</c:formatCode>
                <c:ptCount val="12"/>
                <c:pt idx="0">
                  <c:v>20</c:v>
                </c:pt>
                <c:pt idx="1">
                  <c:v>20</c:v>
                </c:pt>
                <c:pt idx="2">
                  <c:v>20</c:v>
                </c:pt>
                <c:pt idx="3">
                  <c:v>40</c:v>
                </c:pt>
                <c:pt idx="4">
                  <c:v>40</c:v>
                </c:pt>
                <c:pt idx="5">
                  <c:v>40</c:v>
                </c:pt>
                <c:pt idx="6">
                  <c:v>60</c:v>
                </c:pt>
                <c:pt idx="7">
                  <c:v>60</c:v>
                </c:pt>
                <c:pt idx="8">
                  <c:v>60</c:v>
                </c:pt>
                <c:pt idx="9">
                  <c:v>80</c:v>
                </c:pt>
                <c:pt idx="10">
                  <c:v>80</c:v>
                </c:pt>
                <c:pt idx="11">
                  <c:v>80</c:v>
                </c:pt>
              </c:numCache>
            </c:numRef>
          </c:xVal>
          <c:yVal>
            <c:numRef>
              <c:f>switch_x_vs_y!$C$57:$C$68</c:f>
              <c:numCache>
                <c:formatCode>0.000</c:formatCode>
                <c:ptCount val="12"/>
                <c:pt idx="0">
                  <c:v>2.3926393070051222</c:v>
                </c:pt>
                <c:pt idx="1">
                  <c:v>2.3313319386121787</c:v>
                </c:pt>
                <c:pt idx="2">
                  <c:v>2.3398465630750271</c:v>
                </c:pt>
                <c:pt idx="3">
                  <c:v>2.5046246129674943</c:v>
                </c:pt>
                <c:pt idx="4">
                  <c:v>2.5507886831369144</c:v>
                </c:pt>
                <c:pt idx="5">
                  <c:v>2.5478801601317969</c:v>
                </c:pt>
                <c:pt idx="6">
                  <c:v>2.7526576482545426</c:v>
                </c:pt>
                <c:pt idx="7">
                  <c:v>2.79570026188944</c:v>
                </c:pt>
                <c:pt idx="8">
                  <c:v>2.7857222925700866</c:v>
                </c:pt>
                <c:pt idx="9">
                  <c:v>2.9657701315801552</c:v>
                </c:pt>
                <c:pt idx="10">
                  <c:v>2.9002336091947063</c:v>
                </c:pt>
                <c:pt idx="11">
                  <c:v>2.9633669734348995</c:v>
                </c:pt>
              </c:numCache>
            </c:numRef>
          </c:yVal>
          <c:smooth val="0"/>
        </c:ser>
        <c:dLbls>
          <c:showLegendKey val="0"/>
          <c:showVal val="0"/>
          <c:showCatName val="0"/>
          <c:showSerName val="0"/>
          <c:showPercent val="0"/>
          <c:showBubbleSize val="0"/>
        </c:dLbls>
        <c:axId val="98439936"/>
        <c:axId val="98441856"/>
      </c:scatterChart>
      <c:valAx>
        <c:axId val="98439936"/>
        <c:scaling>
          <c:orientation val="minMax"/>
        </c:scaling>
        <c:delete val="0"/>
        <c:axPos val="b"/>
        <c:title>
          <c:tx>
            <c:rich>
              <a:bodyPr/>
              <a:lstStyle/>
              <a:p>
                <a:pPr>
                  <a:defRPr/>
                </a:pPr>
                <a:r>
                  <a:rPr lang="en-US"/>
                  <a:t>temperature (deg C)</a:t>
                </a:r>
              </a:p>
            </c:rich>
          </c:tx>
          <c:overlay val="0"/>
        </c:title>
        <c:numFmt formatCode="General" sourceLinked="1"/>
        <c:majorTickMark val="out"/>
        <c:minorTickMark val="none"/>
        <c:tickLblPos val="nextTo"/>
        <c:crossAx val="98441856"/>
        <c:crosses val="autoZero"/>
        <c:crossBetween val="midCat"/>
      </c:valAx>
      <c:valAx>
        <c:axId val="98441856"/>
        <c:scaling>
          <c:orientation val="minMax"/>
        </c:scaling>
        <c:delete val="0"/>
        <c:axPos val="l"/>
        <c:title>
          <c:tx>
            <c:rich>
              <a:bodyPr rot="-5400000" vert="horz"/>
              <a:lstStyle/>
              <a:p>
                <a:pPr>
                  <a:defRPr/>
                </a:pPr>
                <a:r>
                  <a:rPr lang="en-US"/>
                  <a:t>Volume, L</a:t>
                </a:r>
              </a:p>
            </c:rich>
          </c:tx>
          <c:overlay val="0"/>
        </c:title>
        <c:numFmt formatCode="0.0" sourceLinked="0"/>
        <c:majorTickMark val="out"/>
        <c:minorTickMark val="none"/>
        <c:tickLblPos val="nextTo"/>
        <c:crossAx val="98439936"/>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switch_x_vs_y!$D$76</c:f>
              <c:strCache>
                <c:ptCount val="1"/>
                <c:pt idx="0">
                  <c:v>temperature, C</c:v>
                </c:pt>
              </c:strCache>
            </c:strRef>
          </c:tx>
          <c:spPr>
            <a:ln w="28575">
              <a:noFill/>
            </a:ln>
          </c:spPr>
          <c:trendline>
            <c:trendlineType val="linear"/>
            <c:backward val="2.5"/>
            <c:dispRSqr val="1"/>
            <c:dispEq val="1"/>
            <c:trendlineLbl>
              <c:layout>
                <c:manualLayout>
                  <c:x val="0.41758464566929138"/>
                  <c:y val="-5.5914625255176452E-2"/>
                </c:manualLayout>
              </c:layout>
              <c:numFmt formatCode="General" sourceLinked="0"/>
            </c:trendlineLbl>
          </c:trendline>
          <c:xVal>
            <c:numRef>
              <c:f>switch_x_vs_y!$C$77:$C$88</c:f>
              <c:numCache>
                <c:formatCode>0.000</c:formatCode>
                <c:ptCount val="12"/>
                <c:pt idx="0">
                  <c:v>2.3926393070051222</c:v>
                </c:pt>
                <c:pt idx="1">
                  <c:v>2.3313319386121787</c:v>
                </c:pt>
                <c:pt idx="2">
                  <c:v>2.3398465630750271</c:v>
                </c:pt>
                <c:pt idx="3">
                  <c:v>2.5046246129674943</c:v>
                </c:pt>
                <c:pt idx="4">
                  <c:v>2.5507886831369144</c:v>
                </c:pt>
                <c:pt idx="5">
                  <c:v>2.5478801601317969</c:v>
                </c:pt>
                <c:pt idx="6">
                  <c:v>2.7526576482545426</c:v>
                </c:pt>
                <c:pt idx="7">
                  <c:v>2.79570026188944</c:v>
                </c:pt>
                <c:pt idx="8">
                  <c:v>2.7857222925700866</c:v>
                </c:pt>
                <c:pt idx="9">
                  <c:v>2.9657701315801552</c:v>
                </c:pt>
                <c:pt idx="10">
                  <c:v>2.9002336091947063</c:v>
                </c:pt>
                <c:pt idx="11">
                  <c:v>2.9633669734348995</c:v>
                </c:pt>
              </c:numCache>
            </c:numRef>
          </c:xVal>
          <c:yVal>
            <c:numRef>
              <c:f>switch_x_vs_y!$D$77:$D$88</c:f>
              <c:numCache>
                <c:formatCode>General</c:formatCode>
                <c:ptCount val="12"/>
                <c:pt idx="0">
                  <c:v>20</c:v>
                </c:pt>
                <c:pt idx="1">
                  <c:v>20</c:v>
                </c:pt>
                <c:pt idx="2">
                  <c:v>20</c:v>
                </c:pt>
                <c:pt idx="3">
                  <c:v>40</c:v>
                </c:pt>
                <c:pt idx="4">
                  <c:v>40</c:v>
                </c:pt>
                <c:pt idx="5">
                  <c:v>40</c:v>
                </c:pt>
                <c:pt idx="6">
                  <c:v>60</c:v>
                </c:pt>
                <c:pt idx="7">
                  <c:v>60</c:v>
                </c:pt>
                <c:pt idx="8">
                  <c:v>60</c:v>
                </c:pt>
                <c:pt idx="9">
                  <c:v>80</c:v>
                </c:pt>
                <c:pt idx="10">
                  <c:v>80</c:v>
                </c:pt>
                <c:pt idx="11">
                  <c:v>80</c:v>
                </c:pt>
              </c:numCache>
            </c:numRef>
          </c:yVal>
          <c:smooth val="0"/>
        </c:ser>
        <c:dLbls>
          <c:showLegendKey val="0"/>
          <c:showVal val="0"/>
          <c:showCatName val="0"/>
          <c:showSerName val="0"/>
          <c:showPercent val="0"/>
          <c:showBubbleSize val="0"/>
        </c:dLbls>
        <c:axId val="98467840"/>
        <c:axId val="98469760"/>
      </c:scatterChart>
      <c:valAx>
        <c:axId val="98467840"/>
        <c:scaling>
          <c:orientation val="minMax"/>
        </c:scaling>
        <c:delete val="0"/>
        <c:axPos val="b"/>
        <c:title>
          <c:tx>
            <c:rich>
              <a:bodyPr/>
              <a:lstStyle/>
              <a:p>
                <a:pPr>
                  <a:defRPr/>
                </a:pPr>
                <a:r>
                  <a:rPr lang="en-US"/>
                  <a:t>Volume, L</a:t>
                </a:r>
              </a:p>
            </c:rich>
          </c:tx>
          <c:overlay val="0"/>
        </c:title>
        <c:numFmt formatCode="0.0" sourceLinked="0"/>
        <c:majorTickMark val="out"/>
        <c:minorTickMark val="none"/>
        <c:tickLblPos val="nextTo"/>
        <c:crossAx val="98469760"/>
        <c:crosses val="autoZero"/>
        <c:crossBetween val="midCat"/>
      </c:valAx>
      <c:valAx>
        <c:axId val="98469760"/>
        <c:scaling>
          <c:orientation val="minMax"/>
        </c:scaling>
        <c:delete val="0"/>
        <c:axPos val="l"/>
        <c:title>
          <c:tx>
            <c:rich>
              <a:bodyPr rot="-5400000" vert="horz"/>
              <a:lstStyle/>
              <a:p>
                <a:pPr>
                  <a:defRPr/>
                </a:pPr>
                <a:r>
                  <a:rPr lang="en-US"/>
                  <a:t>Temperature (deg C)</a:t>
                </a:r>
              </a:p>
            </c:rich>
          </c:tx>
          <c:overlay val="0"/>
        </c:title>
        <c:numFmt formatCode="General" sourceLinked="1"/>
        <c:majorTickMark val="out"/>
        <c:minorTickMark val="none"/>
        <c:tickLblPos val="nextTo"/>
        <c:crossAx val="98467840"/>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Various</a:t>
            </a:r>
            <a:r>
              <a:rPr lang="en-US" baseline="0"/>
              <a:t> Fitted Lines</a:t>
            </a:r>
            <a:endParaRPr lang="en-US"/>
          </a:p>
        </c:rich>
      </c:tx>
      <c:overlay val="0"/>
    </c:title>
    <c:autoTitleDeleted val="0"/>
    <c:plotArea>
      <c:layout/>
      <c:scatterChart>
        <c:scatterStyle val="lineMarker"/>
        <c:varyColors val="0"/>
        <c:ser>
          <c:idx val="0"/>
          <c:order val="0"/>
          <c:tx>
            <c:strRef>
              <c:f>informalfits!$F$54</c:f>
              <c:strCache>
                <c:ptCount val="1"/>
                <c:pt idx="0">
                  <c:v>Student/ teacher ratio</c:v>
                </c:pt>
              </c:strCache>
            </c:strRef>
          </c:tx>
          <c:spPr>
            <a:ln w="28575">
              <a:noFill/>
            </a:ln>
          </c:spPr>
          <c:xVal>
            <c:numRef>
              <c:f>informalfits!$E$55:$E$64</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informalfits!$F$55:$F$64</c:f>
              <c:numCache>
                <c:formatCode>_(* #,##0.00_);_(* \(#,##0.00\);_(* "-"??_);_(@_)</c:formatCode>
                <c:ptCount val="1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numCache>
            </c:numRef>
          </c:yVal>
          <c:smooth val="0"/>
        </c:ser>
        <c:ser>
          <c:idx val="1"/>
          <c:order val="1"/>
          <c:tx>
            <c:v>leftmost-to-rightmost</c:v>
          </c:tx>
          <c:spPr>
            <a:ln w="28575">
              <a:solidFill>
                <a:srgbClr val="FFC000"/>
              </a:solidFill>
            </a:ln>
          </c:spPr>
          <c:marker>
            <c:symbol val="none"/>
          </c:marker>
          <c:xVal>
            <c:numRef>
              <c:f>informalfits!$E$73:$E$74</c:f>
              <c:numCache>
                <c:formatCode>General</c:formatCode>
                <c:ptCount val="2"/>
                <c:pt idx="0">
                  <c:v>42508</c:v>
                </c:pt>
                <c:pt idx="1">
                  <c:v>60697</c:v>
                </c:pt>
              </c:numCache>
            </c:numRef>
          </c:xVal>
          <c:yVal>
            <c:numRef>
              <c:f>informalfits!$F$73:$F$74</c:f>
              <c:numCache>
                <c:formatCode>General</c:formatCode>
                <c:ptCount val="2"/>
                <c:pt idx="0">
                  <c:v>14.808219178082192</c:v>
                </c:pt>
                <c:pt idx="1">
                  <c:v>16.644444444444446</c:v>
                </c:pt>
              </c:numCache>
            </c:numRef>
          </c:yVal>
          <c:smooth val="0"/>
        </c:ser>
        <c:ser>
          <c:idx val="2"/>
          <c:order val="2"/>
          <c:tx>
            <c:v>lowest-to-highest</c:v>
          </c:tx>
          <c:spPr>
            <a:ln w="28575">
              <a:solidFill>
                <a:schemeClr val="accent4">
                  <a:lumMod val="60000"/>
                  <a:lumOff val="40000"/>
                </a:schemeClr>
              </a:solidFill>
            </a:ln>
          </c:spPr>
          <c:marker>
            <c:symbol val="none"/>
          </c:marker>
          <c:xVal>
            <c:numRef>
              <c:f>informalfits!$E$78:$E$79</c:f>
              <c:numCache>
                <c:formatCode>General</c:formatCode>
                <c:ptCount val="2"/>
                <c:pt idx="0">
                  <c:v>46504</c:v>
                </c:pt>
                <c:pt idx="1">
                  <c:v>50831</c:v>
                </c:pt>
              </c:numCache>
            </c:numRef>
          </c:xVal>
          <c:yVal>
            <c:numRef>
              <c:f>informalfits!$F$78:$F$79</c:f>
              <c:numCache>
                <c:formatCode>General</c:formatCode>
                <c:ptCount val="2"/>
                <c:pt idx="0">
                  <c:v>13.487603305785123</c:v>
                </c:pt>
                <c:pt idx="1">
                  <c:v>18.939110070257613</c:v>
                </c:pt>
              </c:numCache>
            </c:numRef>
          </c:yVal>
          <c:smooth val="0"/>
        </c:ser>
        <c:ser>
          <c:idx val="3"/>
          <c:order val="3"/>
          <c:tx>
            <c:v>informal line of best fit</c:v>
          </c:tx>
          <c:spPr>
            <a:ln w="28575">
              <a:solidFill>
                <a:srgbClr val="92D050"/>
              </a:solidFill>
            </a:ln>
          </c:spPr>
          <c:marker>
            <c:symbol val="none"/>
          </c:marke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informalfits!$E$16:$E$25</c:f>
              <c:numCache>
                <c:formatCode>General</c:formatCode>
                <c:ptCount val="10"/>
                <c:pt idx="0">
                  <c:v>14.069700000000001</c:v>
                </c:pt>
                <c:pt idx="1">
                  <c:v>13.015599999999999</c:v>
                </c:pt>
                <c:pt idx="2">
                  <c:v>12.5448</c:v>
                </c:pt>
                <c:pt idx="3">
                  <c:v>12.650400000000001</c:v>
                </c:pt>
                <c:pt idx="4">
                  <c:v>13.2424</c:v>
                </c:pt>
                <c:pt idx="5">
                  <c:v>12.2508</c:v>
                </c:pt>
                <c:pt idx="6">
                  <c:v>13.0831</c:v>
                </c:pt>
                <c:pt idx="7">
                  <c:v>12.8376</c:v>
                </c:pt>
                <c:pt idx="8">
                  <c:v>12.9992</c:v>
                </c:pt>
                <c:pt idx="9">
                  <c:v>12.536799999999999</c:v>
                </c:pt>
              </c:numCache>
            </c:numRef>
          </c:yVal>
          <c:smooth val="0"/>
        </c:ser>
        <c:dLbls>
          <c:showLegendKey val="0"/>
          <c:showVal val="0"/>
          <c:showCatName val="0"/>
          <c:showSerName val="0"/>
          <c:showPercent val="0"/>
          <c:showBubbleSize val="0"/>
        </c:dLbls>
        <c:axId val="85752448"/>
        <c:axId val="85771392"/>
      </c:scatterChart>
      <c:valAx>
        <c:axId val="85752448"/>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85771392"/>
        <c:crosses val="autoZero"/>
        <c:crossBetween val="midCat"/>
        <c:dispUnits>
          <c:builtInUnit val="thousands"/>
          <c:dispUnitsLbl/>
        </c:dispUnits>
      </c:valAx>
      <c:valAx>
        <c:axId val="85771392"/>
        <c:scaling>
          <c:orientation val="minMax"/>
          <c:min val="10"/>
        </c:scaling>
        <c:delete val="0"/>
        <c:axPos val="l"/>
        <c:majorGridlines/>
        <c:title>
          <c:tx>
            <c:rich>
              <a:bodyPr rot="-5400000" vert="horz"/>
              <a:lstStyle/>
              <a:p>
                <a:pPr>
                  <a:defRPr/>
                </a:pPr>
                <a:r>
                  <a:rPr lang="en-US"/>
                  <a:t>Student/Teacher Ratio in each district</a:t>
                </a:r>
              </a:p>
            </c:rich>
          </c:tx>
          <c:overlay val="0"/>
        </c:title>
        <c:numFmt formatCode="#,##0" sourceLinked="0"/>
        <c:majorTickMark val="out"/>
        <c:minorTickMark val="none"/>
        <c:tickLblPos val="nextTo"/>
        <c:crossAx val="857524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switch_x_vs_y!$C$11</c:f>
              <c:strCache>
                <c:ptCount val="1"/>
                <c:pt idx="0">
                  <c:v>y</c:v>
                </c:pt>
              </c:strCache>
            </c:strRef>
          </c:tx>
          <c:spPr>
            <a:ln w="28575">
              <a:noFill/>
            </a:ln>
          </c:spPr>
          <c:trendline>
            <c:trendlineType val="linear"/>
            <c:dispRSqr val="1"/>
            <c:dispEq val="1"/>
            <c:trendlineLbl>
              <c:layout>
                <c:manualLayout>
                  <c:x val="0.34773272090988633"/>
                  <c:y val="-0.18332932341790611"/>
                </c:manualLayout>
              </c:layout>
              <c:numFmt formatCode="General" sourceLinked="0"/>
            </c:trendlineLbl>
          </c:trendline>
          <c:xVal>
            <c:numRef>
              <c:f>switch_x_vs_y!$B$12:$B$14</c:f>
              <c:numCache>
                <c:formatCode>General</c:formatCode>
                <c:ptCount val="3"/>
                <c:pt idx="0">
                  <c:v>-1</c:v>
                </c:pt>
                <c:pt idx="1">
                  <c:v>1</c:v>
                </c:pt>
                <c:pt idx="2">
                  <c:v>2</c:v>
                </c:pt>
              </c:numCache>
            </c:numRef>
          </c:xVal>
          <c:yVal>
            <c:numRef>
              <c:f>switch_x_vs_y!$C$12:$C$14</c:f>
              <c:numCache>
                <c:formatCode>General</c:formatCode>
                <c:ptCount val="3"/>
                <c:pt idx="0">
                  <c:v>1</c:v>
                </c:pt>
                <c:pt idx="1">
                  <c:v>0.5</c:v>
                </c:pt>
                <c:pt idx="2">
                  <c:v>4</c:v>
                </c:pt>
              </c:numCache>
            </c:numRef>
          </c:yVal>
          <c:smooth val="0"/>
        </c:ser>
        <c:dLbls>
          <c:showLegendKey val="0"/>
          <c:showVal val="0"/>
          <c:showCatName val="0"/>
          <c:showSerName val="0"/>
          <c:showPercent val="0"/>
          <c:showBubbleSize val="0"/>
        </c:dLbls>
        <c:axId val="98511872"/>
        <c:axId val="98522240"/>
      </c:scatterChart>
      <c:valAx>
        <c:axId val="98511872"/>
        <c:scaling>
          <c:orientation val="minMax"/>
        </c:scaling>
        <c:delete val="0"/>
        <c:axPos val="b"/>
        <c:title>
          <c:tx>
            <c:rich>
              <a:bodyPr/>
              <a:lstStyle/>
              <a:p>
                <a:pPr>
                  <a:defRPr/>
                </a:pPr>
                <a:r>
                  <a:rPr lang="en-US"/>
                  <a:t>original x</a:t>
                </a:r>
              </a:p>
            </c:rich>
          </c:tx>
          <c:overlay val="0"/>
        </c:title>
        <c:numFmt formatCode="General" sourceLinked="1"/>
        <c:majorTickMark val="out"/>
        <c:minorTickMark val="none"/>
        <c:tickLblPos val="nextTo"/>
        <c:crossAx val="98522240"/>
        <c:crosses val="autoZero"/>
        <c:crossBetween val="midCat"/>
        <c:majorUnit val="1"/>
      </c:valAx>
      <c:valAx>
        <c:axId val="98522240"/>
        <c:scaling>
          <c:orientation val="minMax"/>
        </c:scaling>
        <c:delete val="0"/>
        <c:axPos val="l"/>
        <c:title>
          <c:tx>
            <c:rich>
              <a:bodyPr rot="-5400000" vert="horz"/>
              <a:lstStyle/>
              <a:p>
                <a:pPr>
                  <a:defRPr/>
                </a:pPr>
                <a:r>
                  <a:rPr lang="en-US"/>
                  <a:t>original y</a:t>
                </a:r>
              </a:p>
            </c:rich>
          </c:tx>
          <c:overlay val="0"/>
        </c:title>
        <c:numFmt formatCode="General" sourceLinked="1"/>
        <c:majorTickMark val="out"/>
        <c:minorTickMark val="none"/>
        <c:tickLblPos val="nextTo"/>
        <c:crossAx val="98511872"/>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switch_x_vs_y!$D$11</c:f>
              <c:strCache>
                <c:ptCount val="1"/>
                <c:pt idx="0">
                  <c:v>copy of x</c:v>
                </c:pt>
              </c:strCache>
            </c:strRef>
          </c:tx>
          <c:spPr>
            <a:ln w="28575">
              <a:noFill/>
            </a:ln>
          </c:spPr>
          <c:trendline>
            <c:trendlineType val="linear"/>
            <c:dispRSqr val="1"/>
            <c:dispEq val="1"/>
            <c:trendlineLbl>
              <c:layout>
                <c:manualLayout>
                  <c:x val="0.33972703412073491"/>
                  <c:y val="-0.25990376202974635"/>
                </c:manualLayout>
              </c:layout>
              <c:numFmt formatCode="General" sourceLinked="0"/>
            </c:trendlineLbl>
          </c:trendline>
          <c:xVal>
            <c:numRef>
              <c:f>switch_x_vs_y!$C$12:$C$14</c:f>
              <c:numCache>
                <c:formatCode>General</c:formatCode>
                <c:ptCount val="3"/>
                <c:pt idx="0">
                  <c:v>1</c:v>
                </c:pt>
                <c:pt idx="1">
                  <c:v>0.5</c:v>
                </c:pt>
                <c:pt idx="2">
                  <c:v>4</c:v>
                </c:pt>
              </c:numCache>
            </c:numRef>
          </c:xVal>
          <c:yVal>
            <c:numRef>
              <c:f>switch_x_vs_y!$D$12:$D$14</c:f>
              <c:numCache>
                <c:formatCode>General</c:formatCode>
                <c:ptCount val="3"/>
                <c:pt idx="0">
                  <c:v>-1</c:v>
                </c:pt>
                <c:pt idx="1">
                  <c:v>1</c:v>
                </c:pt>
                <c:pt idx="2">
                  <c:v>2</c:v>
                </c:pt>
              </c:numCache>
            </c:numRef>
          </c:yVal>
          <c:smooth val="0"/>
        </c:ser>
        <c:dLbls>
          <c:showLegendKey val="0"/>
          <c:showVal val="0"/>
          <c:showCatName val="0"/>
          <c:showSerName val="0"/>
          <c:showPercent val="0"/>
          <c:showBubbleSize val="0"/>
        </c:dLbls>
        <c:axId val="98556160"/>
        <c:axId val="98566528"/>
      </c:scatterChart>
      <c:valAx>
        <c:axId val="98556160"/>
        <c:scaling>
          <c:orientation val="minMax"/>
        </c:scaling>
        <c:delete val="0"/>
        <c:axPos val="b"/>
        <c:title>
          <c:tx>
            <c:rich>
              <a:bodyPr/>
              <a:lstStyle/>
              <a:p>
                <a:pPr>
                  <a:defRPr/>
                </a:pPr>
                <a:r>
                  <a:rPr lang="en-US"/>
                  <a:t>original y</a:t>
                </a:r>
              </a:p>
            </c:rich>
          </c:tx>
          <c:overlay val="0"/>
        </c:title>
        <c:numFmt formatCode="General" sourceLinked="1"/>
        <c:majorTickMark val="out"/>
        <c:minorTickMark val="none"/>
        <c:tickLblPos val="nextTo"/>
        <c:crossAx val="98566528"/>
        <c:crosses val="autoZero"/>
        <c:crossBetween val="midCat"/>
      </c:valAx>
      <c:valAx>
        <c:axId val="98566528"/>
        <c:scaling>
          <c:orientation val="minMax"/>
        </c:scaling>
        <c:delete val="0"/>
        <c:axPos val="l"/>
        <c:title>
          <c:tx>
            <c:rich>
              <a:bodyPr rot="-5400000" vert="horz"/>
              <a:lstStyle/>
              <a:p>
                <a:pPr>
                  <a:defRPr/>
                </a:pPr>
                <a:r>
                  <a:rPr lang="en-US"/>
                  <a:t>original x</a:t>
                </a:r>
              </a:p>
            </c:rich>
          </c:tx>
          <c:overlay val="0"/>
        </c:title>
        <c:numFmt formatCode="General" sourceLinked="1"/>
        <c:majorTickMark val="out"/>
        <c:minorTickMark val="none"/>
        <c:tickLblPos val="nextTo"/>
        <c:crossAx val="98556160"/>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Fitting an informal line by eye</a:t>
            </a:r>
            <a:endParaRPr lang="en-US"/>
          </a:p>
        </c:rich>
      </c:tx>
      <c:overlay val="0"/>
    </c:title>
    <c:autoTitleDeleted val="0"/>
    <c:plotArea>
      <c:layout/>
      <c:scatterChart>
        <c:scatterStyle val="lineMarker"/>
        <c:varyColors val="0"/>
        <c:ser>
          <c:idx val="0"/>
          <c:order val="0"/>
          <c:tx>
            <c:strRef>
              <c:f>informalfits!$D$15</c:f>
              <c:strCache>
                <c:ptCount val="1"/>
                <c:pt idx="0">
                  <c:v>Student/ teacher ratio</c:v>
                </c:pt>
              </c:strCache>
            </c:strRef>
          </c:tx>
          <c:spPr>
            <a:ln w="28575">
              <a:noFill/>
            </a:ln>
          </c:spP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informalfits!$D$16:$D$25</c:f>
              <c:numCache>
                <c:formatCode>_(* #,##0.00_);_(* \(#,##0.00\);_(* "-"??_);_(@_)</c:formatCode>
                <c:ptCount val="1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numCache>
            </c:numRef>
          </c:yVal>
          <c:smooth val="0"/>
        </c:ser>
        <c:ser>
          <c:idx val="1"/>
          <c:order val="1"/>
          <c:tx>
            <c:v>informal line of best fit</c:v>
          </c:tx>
          <c:spPr>
            <a:ln w="28575">
              <a:solidFill>
                <a:srgbClr val="92D050"/>
              </a:solidFill>
            </a:ln>
          </c:spPr>
          <c:marker>
            <c:symbol val="none"/>
          </c:marke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informalfits!$E$16:$E$25</c:f>
              <c:numCache>
                <c:formatCode>General</c:formatCode>
                <c:ptCount val="10"/>
                <c:pt idx="0">
                  <c:v>14.069700000000001</c:v>
                </c:pt>
                <c:pt idx="1">
                  <c:v>13.015599999999999</c:v>
                </c:pt>
                <c:pt idx="2">
                  <c:v>12.5448</c:v>
                </c:pt>
                <c:pt idx="3">
                  <c:v>12.650400000000001</c:v>
                </c:pt>
                <c:pt idx="4">
                  <c:v>13.2424</c:v>
                </c:pt>
                <c:pt idx="5">
                  <c:v>12.2508</c:v>
                </c:pt>
                <c:pt idx="6">
                  <c:v>13.0831</c:v>
                </c:pt>
                <c:pt idx="7">
                  <c:v>12.8376</c:v>
                </c:pt>
                <c:pt idx="8">
                  <c:v>12.9992</c:v>
                </c:pt>
                <c:pt idx="9">
                  <c:v>12.536799999999999</c:v>
                </c:pt>
              </c:numCache>
            </c:numRef>
          </c:yVal>
          <c:smooth val="0"/>
        </c:ser>
        <c:dLbls>
          <c:showLegendKey val="0"/>
          <c:showVal val="0"/>
          <c:showCatName val="0"/>
          <c:showSerName val="0"/>
          <c:showPercent val="0"/>
          <c:showBubbleSize val="0"/>
        </c:dLbls>
        <c:axId val="82982784"/>
        <c:axId val="82989440"/>
      </c:scatterChart>
      <c:valAx>
        <c:axId val="82982784"/>
        <c:scaling>
          <c:orientation val="minMax"/>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82989440"/>
        <c:crosses val="autoZero"/>
        <c:crossBetween val="midCat"/>
        <c:dispUnits>
          <c:builtInUnit val="thousands"/>
          <c:dispUnitsLbl/>
        </c:dispUnits>
      </c:valAx>
      <c:valAx>
        <c:axId val="82989440"/>
        <c:scaling>
          <c:orientation val="minMax"/>
        </c:scaling>
        <c:delete val="0"/>
        <c:axPos val="l"/>
        <c:majorGridlines/>
        <c:title>
          <c:tx>
            <c:rich>
              <a:bodyPr rot="-5400000" vert="horz"/>
              <a:lstStyle/>
              <a:p>
                <a:pPr>
                  <a:defRPr/>
                </a:pPr>
                <a:r>
                  <a:rPr lang="en-US"/>
                  <a:t>Student/Teacher Ratio in each district</a:t>
                </a:r>
              </a:p>
            </c:rich>
          </c:tx>
          <c:overlay val="0"/>
        </c:title>
        <c:numFmt formatCode="#,##0" sourceLinked="0"/>
        <c:majorTickMark val="out"/>
        <c:minorTickMark val="none"/>
        <c:tickLblPos val="nextTo"/>
        <c:crossAx val="82982784"/>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Zoomed:Fitting an informal line by eye</a:t>
            </a:r>
            <a:endParaRPr lang="en-US"/>
          </a:p>
        </c:rich>
      </c:tx>
      <c:overlay val="0"/>
    </c:title>
    <c:autoTitleDeleted val="0"/>
    <c:plotArea>
      <c:layout/>
      <c:scatterChart>
        <c:scatterStyle val="lineMarker"/>
        <c:varyColors val="0"/>
        <c:ser>
          <c:idx val="0"/>
          <c:order val="0"/>
          <c:tx>
            <c:strRef>
              <c:f>informalfits!$D$15</c:f>
              <c:strCache>
                <c:ptCount val="1"/>
                <c:pt idx="0">
                  <c:v>Student/ teacher ratio</c:v>
                </c:pt>
              </c:strCache>
            </c:strRef>
          </c:tx>
          <c:spPr>
            <a:ln w="28575">
              <a:noFill/>
            </a:ln>
          </c:spP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informalfits!$D$16:$D$25</c:f>
              <c:numCache>
                <c:formatCode>_(* #,##0.00_);_(* \(#,##0.00\);_(* "-"??_);_(@_)</c:formatCode>
                <c:ptCount val="1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numCache>
            </c:numRef>
          </c:yVal>
          <c:smooth val="0"/>
        </c:ser>
        <c:ser>
          <c:idx val="1"/>
          <c:order val="1"/>
          <c:tx>
            <c:v>informal line of best fit</c:v>
          </c:tx>
          <c:spPr>
            <a:ln w="28575">
              <a:solidFill>
                <a:srgbClr val="92D050"/>
              </a:solidFill>
            </a:ln>
          </c:spPr>
          <c:marker>
            <c:symbol val="none"/>
          </c:marke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informalfits!$E$16:$E$25</c:f>
              <c:numCache>
                <c:formatCode>General</c:formatCode>
                <c:ptCount val="10"/>
                <c:pt idx="0">
                  <c:v>14.069700000000001</c:v>
                </c:pt>
                <c:pt idx="1">
                  <c:v>13.015599999999999</c:v>
                </c:pt>
                <c:pt idx="2">
                  <c:v>12.5448</c:v>
                </c:pt>
                <c:pt idx="3">
                  <c:v>12.650400000000001</c:v>
                </c:pt>
                <c:pt idx="4">
                  <c:v>13.2424</c:v>
                </c:pt>
                <c:pt idx="5">
                  <c:v>12.2508</c:v>
                </c:pt>
                <c:pt idx="6">
                  <c:v>13.0831</c:v>
                </c:pt>
                <c:pt idx="7">
                  <c:v>12.8376</c:v>
                </c:pt>
                <c:pt idx="8">
                  <c:v>12.9992</c:v>
                </c:pt>
                <c:pt idx="9">
                  <c:v>12.536799999999999</c:v>
                </c:pt>
              </c:numCache>
            </c:numRef>
          </c:yVal>
          <c:smooth val="0"/>
        </c:ser>
        <c:dLbls>
          <c:showLegendKey val="0"/>
          <c:showVal val="0"/>
          <c:showCatName val="0"/>
          <c:showSerName val="0"/>
          <c:showPercent val="0"/>
          <c:showBubbleSize val="0"/>
        </c:dLbls>
        <c:axId val="83006976"/>
        <c:axId val="83025920"/>
      </c:scatterChart>
      <c:valAx>
        <c:axId val="83006976"/>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83025920"/>
        <c:crosses val="autoZero"/>
        <c:crossBetween val="midCat"/>
        <c:dispUnits>
          <c:builtInUnit val="thousands"/>
          <c:dispUnitsLbl/>
        </c:dispUnits>
      </c:valAx>
      <c:valAx>
        <c:axId val="83025920"/>
        <c:scaling>
          <c:orientation val="minMax"/>
          <c:min val="10"/>
        </c:scaling>
        <c:delete val="0"/>
        <c:axPos val="l"/>
        <c:majorGridlines/>
        <c:title>
          <c:tx>
            <c:rich>
              <a:bodyPr rot="-5400000" vert="horz"/>
              <a:lstStyle/>
              <a:p>
                <a:pPr>
                  <a:defRPr/>
                </a:pPr>
                <a:r>
                  <a:rPr lang="en-US"/>
                  <a:t>Student/Teacher Ratio in each district</a:t>
                </a:r>
              </a:p>
            </c:rich>
          </c:tx>
          <c:overlay val="0"/>
        </c:title>
        <c:numFmt formatCode="#,##0" sourceLinked="0"/>
        <c:majorTickMark val="out"/>
        <c:minorTickMark val="none"/>
        <c:tickLblPos val="nextTo"/>
        <c:crossAx val="83006976"/>
        <c:crosses val="autoZero"/>
        <c:crossBetween val="midCat"/>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Various</a:t>
            </a:r>
            <a:r>
              <a:rPr lang="en-US" baseline="0"/>
              <a:t> Fitted Lines</a:t>
            </a:r>
            <a:endParaRPr lang="en-US"/>
          </a:p>
        </c:rich>
      </c:tx>
      <c:overlay val="0"/>
    </c:title>
    <c:autoTitleDeleted val="0"/>
    <c:plotArea>
      <c:layout/>
      <c:scatterChart>
        <c:scatterStyle val="lineMarker"/>
        <c:varyColors val="0"/>
        <c:ser>
          <c:idx val="0"/>
          <c:order val="0"/>
          <c:tx>
            <c:strRef>
              <c:f>informalfits!$F$54</c:f>
              <c:strCache>
                <c:ptCount val="1"/>
                <c:pt idx="0">
                  <c:v>Student/ teacher ratio</c:v>
                </c:pt>
              </c:strCache>
            </c:strRef>
          </c:tx>
          <c:spPr>
            <a:ln w="28575">
              <a:noFill/>
            </a:ln>
          </c:spPr>
          <c:dLbls>
            <c:dLbl>
              <c:idx val="0"/>
              <c:tx>
                <c:rich>
                  <a:bodyPr/>
                  <a:lstStyle/>
                  <a:p>
                    <a:r>
                      <a:rPr lang="en-US"/>
                      <a:t> 1 </a:t>
                    </a:r>
                  </a:p>
                </c:rich>
              </c:tx>
              <c:dLblPos val="ctr"/>
              <c:showLegendKey val="0"/>
              <c:showVal val="1"/>
              <c:showCatName val="0"/>
              <c:showSerName val="0"/>
              <c:showPercent val="0"/>
              <c:showBubbleSize val="0"/>
            </c:dLbl>
            <c:dLbl>
              <c:idx val="1"/>
              <c:tx>
                <c:rich>
                  <a:bodyPr/>
                  <a:lstStyle/>
                  <a:p>
                    <a:r>
                      <a:rPr lang="en-US"/>
                      <a:t>2</a:t>
                    </a:r>
                  </a:p>
                </c:rich>
              </c:tx>
              <c:dLblPos val="ctr"/>
              <c:showLegendKey val="0"/>
              <c:showVal val="1"/>
              <c:showCatName val="0"/>
              <c:showSerName val="0"/>
              <c:showPercent val="0"/>
              <c:showBubbleSize val="0"/>
            </c:dLbl>
            <c:dLbl>
              <c:idx val="2"/>
              <c:tx>
                <c:rich>
                  <a:bodyPr/>
                  <a:lstStyle/>
                  <a:p>
                    <a:r>
                      <a:rPr lang="en-US"/>
                      <a:t> 3</a:t>
                    </a:r>
                  </a:p>
                </c:rich>
              </c:tx>
              <c:dLblPos val="ctr"/>
              <c:showLegendKey val="0"/>
              <c:showVal val="1"/>
              <c:showCatName val="0"/>
              <c:showSerName val="0"/>
              <c:showPercent val="0"/>
              <c:showBubbleSize val="0"/>
            </c:dLbl>
            <c:dLbl>
              <c:idx val="3"/>
              <c:tx>
                <c:rich>
                  <a:bodyPr/>
                  <a:lstStyle/>
                  <a:p>
                    <a:r>
                      <a:rPr lang="en-US"/>
                      <a:t> 4</a:t>
                    </a:r>
                  </a:p>
                </c:rich>
              </c:tx>
              <c:dLblPos val="ctr"/>
              <c:showLegendKey val="0"/>
              <c:showVal val="1"/>
              <c:showCatName val="0"/>
              <c:showSerName val="0"/>
              <c:showPercent val="0"/>
              <c:showBubbleSize val="0"/>
            </c:dLbl>
            <c:dLbl>
              <c:idx val="4"/>
              <c:tx>
                <c:rich>
                  <a:bodyPr/>
                  <a:lstStyle/>
                  <a:p>
                    <a:r>
                      <a:rPr lang="en-US"/>
                      <a:t> 5</a:t>
                    </a:r>
                  </a:p>
                </c:rich>
              </c:tx>
              <c:dLblPos val="ctr"/>
              <c:showLegendKey val="0"/>
              <c:showVal val="1"/>
              <c:showCatName val="0"/>
              <c:showSerName val="0"/>
              <c:showPercent val="0"/>
              <c:showBubbleSize val="0"/>
            </c:dLbl>
            <c:dLbl>
              <c:idx val="5"/>
              <c:tx>
                <c:rich>
                  <a:bodyPr/>
                  <a:lstStyle/>
                  <a:p>
                    <a:r>
                      <a:rPr lang="en-US"/>
                      <a:t>6</a:t>
                    </a:r>
                  </a:p>
                </c:rich>
              </c:tx>
              <c:dLblPos val="ctr"/>
              <c:showLegendKey val="0"/>
              <c:showVal val="1"/>
              <c:showCatName val="0"/>
              <c:showSerName val="0"/>
              <c:showPercent val="0"/>
              <c:showBubbleSize val="0"/>
            </c:dLbl>
            <c:dLbl>
              <c:idx val="6"/>
              <c:tx>
                <c:rich>
                  <a:bodyPr/>
                  <a:lstStyle/>
                  <a:p>
                    <a:r>
                      <a:rPr lang="en-US"/>
                      <a:t> 7</a:t>
                    </a:r>
                  </a:p>
                </c:rich>
              </c:tx>
              <c:dLblPos val="ctr"/>
              <c:showLegendKey val="0"/>
              <c:showVal val="1"/>
              <c:showCatName val="0"/>
              <c:showSerName val="0"/>
              <c:showPercent val="0"/>
              <c:showBubbleSize val="0"/>
            </c:dLbl>
            <c:dLbl>
              <c:idx val="7"/>
              <c:tx>
                <c:rich>
                  <a:bodyPr/>
                  <a:lstStyle/>
                  <a:p>
                    <a:r>
                      <a:rPr lang="en-US"/>
                      <a:t>8</a:t>
                    </a:r>
                  </a:p>
                </c:rich>
              </c:tx>
              <c:dLblPos val="ctr"/>
              <c:showLegendKey val="0"/>
              <c:showVal val="1"/>
              <c:showCatName val="0"/>
              <c:showSerName val="0"/>
              <c:showPercent val="0"/>
              <c:showBubbleSize val="0"/>
            </c:dLbl>
            <c:dLbl>
              <c:idx val="8"/>
              <c:tx>
                <c:rich>
                  <a:bodyPr/>
                  <a:lstStyle/>
                  <a:p>
                    <a:r>
                      <a:rPr lang="en-US"/>
                      <a:t> 9</a:t>
                    </a:r>
                  </a:p>
                </c:rich>
              </c:tx>
              <c:dLblPos val="ctr"/>
              <c:showLegendKey val="0"/>
              <c:showVal val="1"/>
              <c:showCatName val="0"/>
              <c:showSerName val="0"/>
              <c:showPercent val="0"/>
              <c:showBubbleSize val="0"/>
            </c:dLbl>
            <c:dLbl>
              <c:idx val="9"/>
              <c:tx>
                <c:rich>
                  <a:bodyPr/>
                  <a:lstStyle/>
                  <a:p>
                    <a:r>
                      <a:rPr lang="en-US"/>
                      <a:t> 10</a:t>
                    </a:r>
                  </a:p>
                </c:rich>
              </c:tx>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xVal>
            <c:numRef>
              <c:f>informalfits!$E$55:$E$64</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informalfits!$F$55:$F$64</c:f>
              <c:numCache>
                <c:formatCode>_(* #,##0.00_);_(* \(#,##0.00\);_(* "-"??_);_(@_)</c:formatCode>
                <c:ptCount val="10"/>
                <c:pt idx="0">
                  <c:v>16.644444444444446</c:v>
                </c:pt>
                <c:pt idx="1">
                  <c:v>15.991228070175438</c:v>
                </c:pt>
                <c:pt idx="2">
                  <c:v>16.55952380952381</c:v>
                </c:pt>
                <c:pt idx="3">
                  <c:v>13.487603305785123</c:v>
                </c:pt>
                <c:pt idx="4">
                  <c:v>16.048780487804876</c:v>
                </c:pt>
                <c:pt idx="5">
                  <c:v>14.808219178082192</c:v>
                </c:pt>
                <c:pt idx="6">
                  <c:v>18.939110070257613</c:v>
                </c:pt>
                <c:pt idx="7">
                  <c:v>16.607279693486589</c:v>
                </c:pt>
                <c:pt idx="8">
                  <c:v>14.943127962085308</c:v>
                </c:pt>
                <c:pt idx="9">
                  <c:v>15.847619047619048</c:v>
                </c:pt>
              </c:numCache>
            </c:numRef>
          </c:yVal>
          <c:smooth val="0"/>
        </c:ser>
        <c:ser>
          <c:idx val="1"/>
          <c:order val="1"/>
          <c:tx>
            <c:v>leftmost-to-rightmost</c:v>
          </c:tx>
          <c:spPr>
            <a:ln w="28575">
              <a:solidFill>
                <a:srgbClr val="FFC000"/>
              </a:solidFill>
            </a:ln>
          </c:spPr>
          <c:marker>
            <c:symbol val="none"/>
          </c:marker>
          <c:xVal>
            <c:numRef>
              <c:f>informalfits!$E$73:$E$74</c:f>
              <c:numCache>
                <c:formatCode>General</c:formatCode>
                <c:ptCount val="2"/>
                <c:pt idx="0">
                  <c:v>42508</c:v>
                </c:pt>
                <c:pt idx="1">
                  <c:v>60697</c:v>
                </c:pt>
              </c:numCache>
            </c:numRef>
          </c:xVal>
          <c:yVal>
            <c:numRef>
              <c:f>informalfits!$F$73:$F$74</c:f>
              <c:numCache>
                <c:formatCode>General</c:formatCode>
                <c:ptCount val="2"/>
                <c:pt idx="0">
                  <c:v>14.808219178082192</c:v>
                </c:pt>
                <c:pt idx="1">
                  <c:v>16.644444444444446</c:v>
                </c:pt>
              </c:numCache>
            </c:numRef>
          </c:yVal>
          <c:smooth val="0"/>
        </c:ser>
        <c:ser>
          <c:idx val="2"/>
          <c:order val="2"/>
          <c:tx>
            <c:v>lowest-to-highest</c:v>
          </c:tx>
          <c:spPr>
            <a:ln w="28575">
              <a:solidFill>
                <a:schemeClr val="accent4">
                  <a:lumMod val="60000"/>
                  <a:lumOff val="40000"/>
                </a:schemeClr>
              </a:solidFill>
            </a:ln>
          </c:spPr>
          <c:marker>
            <c:symbol val="none"/>
          </c:marker>
          <c:xVal>
            <c:numRef>
              <c:f>informalfits!$E$78:$E$79</c:f>
              <c:numCache>
                <c:formatCode>General</c:formatCode>
                <c:ptCount val="2"/>
                <c:pt idx="0">
                  <c:v>46504</c:v>
                </c:pt>
                <c:pt idx="1">
                  <c:v>50831</c:v>
                </c:pt>
              </c:numCache>
            </c:numRef>
          </c:xVal>
          <c:yVal>
            <c:numRef>
              <c:f>informalfits!$F$78:$F$79</c:f>
              <c:numCache>
                <c:formatCode>General</c:formatCode>
                <c:ptCount val="2"/>
                <c:pt idx="0">
                  <c:v>13.487603305785123</c:v>
                </c:pt>
                <c:pt idx="1">
                  <c:v>18.939110070257613</c:v>
                </c:pt>
              </c:numCache>
            </c:numRef>
          </c:yVal>
          <c:smooth val="0"/>
        </c:ser>
        <c:ser>
          <c:idx val="3"/>
          <c:order val="3"/>
          <c:tx>
            <c:v>informal line of best fit</c:v>
          </c:tx>
          <c:spPr>
            <a:ln w="28575">
              <a:solidFill>
                <a:srgbClr val="92D050"/>
              </a:solidFill>
            </a:ln>
          </c:spPr>
          <c:marker>
            <c:symbol val="none"/>
          </c:marker>
          <c:xVal>
            <c:numRef>
              <c:f>informalfits!$C$16:$C$25</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informalfits!$E$16:$E$25</c:f>
              <c:numCache>
                <c:formatCode>General</c:formatCode>
                <c:ptCount val="10"/>
                <c:pt idx="0">
                  <c:v>14.069700000000001</c:v>
                </c:pt>
                <c:pt idx="1">
                  <c:v>13.015599999999999</c:v>
                </c:pt>
                <c:pt idx="2">
                  <c:v>12.5448</c:v>
                </c:pt>
                <c:pt idx="3">
                  <c:v>12.650400000000001</c:v>
                </c:pt>
                <c:pt idx="4">
                  <c:v>13.2424</c:v>
                </c:pt>
                <c:pt idx="5">
                  <c:v>12.2508</c:v>
                </c:pt>
                <c:pt idx="6">
                  <c:v>13.0831</c:v>
                </c:pt>
                <c:pt idx="7">
                  <c:v>12.8376</c:v>
                </c:pt>
                <c:pt idx="8">
                  <c:v>12.9992</c:v>
                </c:pt>
                <c:pt idx="9">
                  <c:v>12.536799999999999</c:v>
                </c:pt>
              </c:numCache>
            </c:numRef>
          </c:yVal>
          <c:smooth val="0"/>
        </c:ser>
        <c:ser>
          <c:idx val="4"/>
          <c:order val="4"/>
          <c:tx>
            <c:v>Line that touches 2 specified points</c:v>
          </c:tx>
          <c:spPr>
            <a:ln w="28575">
              <a:solidFill>
                <a:srgbClr val="7030A0"/>
              </a:solidFill>
            </a:ln>
          </c:spPr>
          <c:marker>
            <c:symbol val="none"/>
          </c:marker>
          <c:xVal>
            <c:numRef>
              <c:f>informalfits!$E$107:$E$116</c:f>
              <c:numCache>
                <c:formatCode>_("$"* #,##0_);_("$"* \(#,##0\);_("$"* "-"??_);_(@_)</c:formatCode>
                <c:ptCount val="10"/>
                <c:pt idx="0">
                  <c:v>60697</c:v>
                </c:pt>
                <c:pt idx="1">
                  <c:v>50156</c:v>
                </c:pt>
                <c:pt idx="2">
                  <c:v>45448</c:v>
                </c:pt>
                <c:pt idx="3">
                  <c:v>46504</c:v>
                </c:pt>
                <c:pt idx="4">
                  <c:v>52424</c:v>
                </c:pt>
                <c:pt idx="5">
                  <c:v>42508</c:v>
                </c:pt>
                <c:pt idx="6">
                  <c:v>50831</c:v>
                </c:pt>
                <c:pt idx="7">
                  <c:v>48376</c:v>
                </c:pt>
                <c:pt idx="8">
                  <c:v>49992</c:v>
                </c:pt>
                <c:pt idx="9">
                  <c:v>45368</c:v>
                </c:pt>
              </c:numCache>
            </c:numRef>
          </c:xVal>
          <c:yVal>
            <c:numRef>
              <c:f>informalfits!$G$107:$G$116</c:f>
              <c:numCache>
                <c:formatCode>General</c:formatCode>
                <c:ptCount val="10"/>
                <c:pt idx="0">
                  <c:v>16.258714857755646</c:v>
                </c:pt>
                <c:pt idx="1">
                  <c:v>15.991228070175438</c:v>
                </c:pt>
                <c:pt idx="2">
                  <c:v>15.871758589487875</c:v>
                </c:pt>
                <c:pt idx="3">
                  <c:v>15.898555482352375</c:v>
                </c:pt>
                <c:pt idx="4">
                  <c:v>16.048780487804876</c:v>
                </c:pt>
                <c:pt idx="5">
                  <c:v>15.797153603671937</c:v>
                </c:pt>
                <c:pt idx="6">
                  <c:v>16.008356765898487</c:v>
                </c:pt>
                <c:pt idx="7">
                  <c:v>15.946059065157627</c:v>
                </c:pt>
                <c:pt idx="8">
                  <c:v>15.987066431510875</c:v>
                </c:pt>
                <c:pt idx="9">
                  <c:v>15.869728521846625</c:v>
                </c:pt>
              </c:numCache>
            </c:numRef>
          </c:yVal>
          <c:smooth val="0"/>
        </c:ser>
        <c:dLbls>
          <c:showLegendKey val="0"/>
          <c:showVal val="0"/>
          <c:showCatName val="0"/>
          <c:showSerName val="0"/>
          <c:showPercent val="0"/>
          <c:showBubbleSize val="0"/>
        </c:dLbls>
        <c:axId val="85856256"/>
        <c:axId val="85858560"/>
      </c:scatterChart>
      <c:valAx>
        <c:axId val="85856256"/>
        <c:scaling>
          <c:orientation val="minMax"/>
          <c:min val="40000"/>
        </c:scaling>
        <c:delete val="0"/>
        <c:axPos val="b"/>
        <c:title>
          <c:tx>
            <c:rich>
              <a:bodyPr/>
              <a:lstStyle/>
              <a:p>
                <a:pPr>
                  <a:defRPr/>
                </a:pPr>
                <a:r>
                  <a:rPr lang="en-US"/>
                  <a:t>Average salary for full-time teachers in each district</a:t>
                </a:r>
              </a:p>
            </c:rich>
          </c:tx>
          <c:overlay val="0"/>
        </c:title>
        <c:numFmt formatCode="_(&quot;$&quot;* #,##0_);_(&quot;$&quot;* \(#,##0\);_(&quot;$&quot;* &quot;-&quot;??_);_(@_)" sourceLinked="1"/>
        <c:majorTickMark val="out"/>
        <c:minorTickMark val="none"/>
        <c:tickLblPos val="nextTo"/>
        <c:crossAx val="85858560"/>
        <c:crosses val="autoZero"/>
        <c:crossBetween val="midCat"/>
        <c:dispUnits>
          <c:builtInUnit val="thousands"/>
          <c:dispUnitsLbl/>
        </c:dispUnits>
      </c:valAx>
      <c:valAx>
        <c:axId val="85858560"/>
        <c:scaling>
          <c:orientation val="minMax"/>
          <c:min val="10"/>
        </c:scaling>
        <c:delete val="0"/>
        <c:axPos val="l"/>
        <c:majorGridlines/>
        <c:title>
          <c:tx>
            <c:rich>
              <a:bodyPr rot="-5400000" vert="horz"/>
              <a:lstStyle/>
              <a:p>
                <a:pPr>
                  <a:defRPr/>
                </a:pPr>
                <a:r>
                  <a:rPr lang="en-US"/>
                  <a:t>Student/Teacher Ratio in each district</a:t>
                </a:r>
              </a:p>
            </c:rich>
          </c:tx>
          <c:overlay val="0"/>
        </c:title>
        <c:numFmt formatCode="#,##0" sourceLinked="0"/>
        <c:majorTickMark val="out"/>
        <c:minorTickMark val="none"/>
        <c:tickLblPos val="nextTo"/>
        <c:crossAx val="85856256"/>
        <c:crosses val="autoZero"/>
        <c:crossBetween val="midCat"/>
      </c:valAx>
    </c:plotArea>
    <c:legend>
      <c:legendPos val="r"/>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image" Target="../media/image7.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4"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chart" Target="../charts/chart50.xml"/><Relationship Id="rId4" Type="http://schemas.openxmlformats.org/officeDocument/2006/relationships/chart" Target="../charts/chart53.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image" Target="../media/image8.png"/><Relationship Id="rId1" Type="http://schemas.openxmlformats.org/officeDocument/2006/relationships/chart" Target="../charts/chart54.xml"/><Relationship Id="rId5" Type="http://schemas.openxmlformats.org/officeDocument/2006/relationships/chart" Target="../charts/chart57.xml"/><Relationship Id="rId4" Type="http://schemas.openxmlformats.org/officeDocument/2006/relationships/chart" Target="../charts/chart56.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4" Type="http://schemas.openxmlformats.org/officeDocument/2006/relationships/chart" Target="../charts/chart6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8.xml"/><Relationship Id="rId7" Type="http://schemas.openxmlformats.org/officeDocument/2006/relationships/chart" Target="../charts/chart11.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image" Target="../media/image1.gif"/><Relationship Id="rId5" Type="http://schemas.openxmlformats.org/officeDocument/2006/relationships/chart" Target="../charts/chart10.xml"/><Relationship Id="rId10" Type="http://schemas.openxmlformats.org/officeDocument/2006/relationships/chart" Target="../charts/chart14.xml"/><Relationship Id="rId4" Type="http://schemas.openxmlformats.org/officeDocument/2006/relationships/chart" Target="../charts/chart9.xml"/><Relationship Id="rId9"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chart" Target="../charts/chart33.xml"/><Relationship Id="rId2" Type="http://schemas.openxmlformats.org/officeDocument/2006/relationships/chart" Target="../charts/chart23.xml"/><Relationship Id="rId16" Type="http://schemas.openxmlformats.org/officeDocument/2006/relationships/chart" Target="../charts/chart37.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5" Type="http://schemas.openxmlformats.org/officeDocument/2006/relationships/chart" Target="../charts/chart3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s>
</file>

<file path=xl/drawings/_rels/drawing8.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image" Target="../media/image4.gif"/></Relationships>
</file>

<file path=xl/drawings/_rels/drawing9.xml.rels><?xml version="1.0" encoding="UTF-8" standalone="yes"?>
<Relationships xmlns="http://schemas.openxmlformats.org/package/2006/relationships"><Relationship Id="rId2" Type="http://schemas.openxmlformats.org/officeDocument/2006/relationships/image" Target="../media/image6.gif"/><Relationship Id="rId1"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3</xdr:col>
      <xdr:colOff>333375</xdr:colOff>
      <xdr:row>18</xdr:row>
      <xdr:rowOff>85725</xdr:rowOff>
    </xdr:from>
    <xdr:to>
      <xdr:col>10</xdr:col>
      <xdr:colOff>0</xdr:colOff>
      <xdr:row>31</xdr:row>
      <xdr:rowOff>66675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35</xdr:row>
      <xdr:rowOff>19050</xdr:rowOff>
    </xdr:from>
    <xdr:to>
      <xdr:col>11</xdr:col>
      <xdr:colOff>66675</xdr:colOff>
      <xdr:row>47</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409575</xdr:colOff>
      <xdr:row>70</xdr:row>
      <xdr:rowOff>95250</xdr:rowOff>
    </xdr:from>
    <xdr:to>
      <xdr:col>10</xdr:col>
      <xdr:colOff>104775</xdr:colOff>
      <xdr:row>84</xdr:row>
      <xdr:rowOff>171450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352425</xdr:colOff>
      <xdr:row>16</xdr:row>
      <xdr:rowOff>85725</xdr:rowOff>
    </xdr:from>
    <xdr:to>
      <xdr:col>18</xdr:col>
      <xdr:colOff>47625</xdr:colOff>
      <xdr:row>31</xdr:row>
      <xdr:rowOff>161925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37</xdr:row>
      <xdr:rowOff>0</xdr:rowOff>
    </xdr:from>
    <xdr:to>
      <xdr:col>11</xdr:col>
      <xdr:colOff>304800</xdr:colOff>
      <xdr:row>51</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333375</xdr:colOff>
      <xdr:row>37</xdr:row>
      <xdr:rowOff>0</xdr:rowOff>
    </xdr:from>
    <xdr:to>
      <xdr:col>19</xdr:col>
      <xdr:colOff>28575</xdr:colOff>
      <xdr:row>51</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514350</xdr:colOff>
      <xdr:row>22</xdr:row>
      <xdr:rowOff>171451</xdr:rowOff>
    </xdr:from>
    <xdr:to>
      <xdr:col>22</xdr:col>
      <xdr:colOff>514350</xdr:colOff>
      <xdr:row>32</xdr:row>
      <xdr:rowOff>190501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504825</xdr:colOff>
      <xdr:row>33</xdr:row>
      <xdr:rowOff>0</xdr:rowOff>
    </xdr:from>
    <xdr:to>
      <xdr:col>22</xdr:col>
      <xdr:colOff>504825</xdr:colOff>
      <xdr:row>42</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476250</xdr:colOff>
      <xdr:row>43</xdr:row>
      <xdr:rowOff>19051</xdr:rowOff>
    </xdr:from>
    <xdr:to>
      <xdr:col>22</xdr:col>
      <xdr:colOff>476250</xdr:colOff>
      <xdr:row>57</xdr:row>
      <xdr:rowOff>28576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485775</xdr:colOff>
      <xdr:row>1</xdr:row>
      <xdr:rowOff>57150</xdr:rowOff>
    </xdr:from>
    <xdr:to>
      <xdr:col>21</xdr:col>
      <xdr:colOff>161925</xdr:colOff>
      <xdr:row>18</xdr:row>
      <xdr:rowOff>47625</xdr:rowOff>
    </xdr:to>
    <xdr:pic>
      <xdr:nvPicPr>
        <xdr:cNvPr id="10242"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9763125" y="247650"/>
          <a:ext cx="3943350" cy="344805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514350</xdr:colOff>
      <xdr:row>22</xdr:row>
      <xdr:rowOff>171451</xdr:rowOff>
    </xdr:from>
    <xdr:to>
      <xdr:col>22</xdr:col>
      <xdr:colOff>514350</xdr:colOff>
      <xdr:row>32</xdr:row>
      <xdr:rowOff>190501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504825</xdr:colOff>
      <xdr:row>33</xdr:row>
      <xdr:rowOff>0</xdr:rowOff>
    </xdr:from>
    <xdr:to>
      <xdr:col>22</xdr:col>
      <xdr:colOff>504825</xdr:colOff>
      <xdr:row>42</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476250</xdr:colOff>
      <xdr:row>43</xdr:row>
      <xdr:rowOff>19051</xdr:rowOff>
    </xdr:from>
    <xdr:to>
      <xdr:col>22</xdr:col>
      <xdr:colOff>476250</xdr:colOff>
      <xdr:row>57</xdr:row>
      <xdr:rowOff>28576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485775</xdr:colOff>
      <xdr:row>1</xdr:row>
      <xdr:rowOff>57150</xdr:rowOff>
    </xdr:from>
    <xdr:to>
      <xdr:col>21</xdr:col>
      <xdr:colOff>161925</xdr:colOff>
      <xdr:row>18</xdr:row>
      <xdr:rowOff>47625</xdr:rowOff>
    </xdr:to>
    <xdr:pic>
      <xdr:nvPicPr>
        <xdr:cNvPr id="5"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9763125" y="285750"/>
          <a:ext cx="3943350" cy="344805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7</xdr:col>
      <xdr:colOff>85725</xdr:colOff>
      <xdr:row>11</xdr:row>
      <xdr:rowOff>19050</xdr:rowOff>
    </xdr:from>
    <xdr:to>
      <xdr:col>14</xdr:col>
      <xdr:colOff>390525</xdr:colOff>
      <xdr:row>25</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142875</xdr:colOff>
      <xdr:row>0</xdr:row>
      <xdr:rowOff>114300</xdr:rowOff>
    </xdr:from>
    <xdr:to>
      <xdr:col>13</xdr:col>
      <xdr:colOff>447675</xdr:colOff>
      <xdr:row>18</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180975</xdr:colOff>
      <xdr:row>18</xdr:row>
      <xdr:rowOff>47625</xdr:rowOff>
    </xdr:from>
    <xdr:to>
      <xdr:col>13</xdr:col>
      <xdr:colOff>485775</xdr:colOff>
      <xdr:row>33</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476250</xdr:colOff>
      <xdr:row>28</xdr:row>
      <xdr:rowOff>66675</xdr:rowOff>
    </xdr:from>
    <xdr:to>
      <xdr:col>15</xdr:col>
      <xdr:colOff>171450</xdr:colOff>
      <xdr:row>42</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190500</xdr:colOff>
      <xdr:row>28</xdr:row>
      <xdr:rowOff>66675</xdr:rowOff>
    </xdr:from>
    <xdr:to>
      <xdr:col>22</xdr:col>
      <xdr:colOff>495300</xdr:colOff>
      <xdr:row>42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114300</xdr:colOff>
      <xdr:row>66</xdr:row>
      <xdr:rowOff>114300</xdr:rowOff>
    </xdr:from>
    <xdr:to>
      <xdr:col>14</xdr:col>
      <xdr:colOff>419100</xdr:colOff>
      <xdr:row>81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428625</xdr:colOff>
      <xdr:row>68</xdr:row>
      <xdr:rowOff>38100</xdr:rowOff>
    </xdr:from>
    <xdr:to>
      <xdr:col>22</xdr:col>
      <xdr:colOff>123825</xdr:colOff>
      <xdr:row>82</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323850</xdr:colOff>
      <xdr:row>6</xdr:row>
      <xdr:rowOff>76200</xdr:rowOff>
    </xdr:from>
    <xdr:to>
      <xdr:col>16</xdr:col>
      <xdr:colOff>19050</xdr:colOff>
      <xdr:row>21</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31</xdr:row>
      <xdr:rowOff>0</xdr:rowOff>
    </xdr:from>
    <xdr:to>
      <xdr:col>6</xdr:col>
      <xdr:colOff>95250</xdr:colOff>
      <xdr:row>40</xdr:row>
      <xdr:rowOff>28575</xdr:rowOff>
    </xdr:to>
    <xdr:pic>
      <xdr:nvPicPr>
        <xdr:cNvPr id="8193" name="Picture 1" descr="http://upload.wikimedia.org/wikipedia/commons/thumb/d/d4/Correlation_examples2.svg/400px-Correlation_examples2.svg.png"/>
        <xdr:cNvPicPr>
          <a:picLocks noChangeAspect="1" noChangeArrowheads="1"/>
        </xdr:cNvPicPr>
      </xdr:nvPicPr>
      <xdr:blipFill>
        <a:blip xmlns:r="http://schemas.openxmlformats.org/officeDocument/2006/relationships" r:embed="rId2" cstate="print"/>
        <a:srcRect/>
        <a:stretch>
          <a:fillRect/>
        </a:stretch>
      </xdr:blipFill>
      <xdr:spPr bwMode="auto">
        <a:xfrm>
          <a:off x="609600" y="5715000"/>
          <a:ext cx="3810000" cy="1743075"/>
        </a:xfrm>
        <a:prstGeom prst="rect">
          <a:avLst/>
        </a:prstGeom>
        <a:noFill/>
      </xdr:spPr>
    </xdr:pic>
    <xdr:clientData/>
  </xdr:twoCellAnchor>
  <xdr:twoCellAnchor>
    <xdr:from>
      <xdr:col>8</xdr:col>
      <xdr:colOff>152400</xdr:colOff>
      <xdr:row>44</xdr:row>
      <xdr:rowOff>104775</xdr:rowOff>
    </xdr:from>
    <xdr:to>
      <xdr:col>13</xdr:col>
      <xdr:colOff>352425</xdr:colOff>
      <xdr:row>54</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64</xdr:row>
      <xdr:rowOff>0</xdr:rowOff>
    </xdr:from>
    <xdr:to>
      <xdr:col>11</xdr:col>
      <xdr:colOff>514350</xdr:colOff>
      <xdr:row>71</xdr:row>
      <xdr:rowOff>142875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55</xdr:row>
      <xdr:rowOff>0</xdr:rowOff>
    </xdr:from>
    <xdr:to>
      <xdr:col>11</xdr:col>
      <xdr:colOff>523875</xdr:colOff>
      <xdr:row>63</xdr:row>
      <xdr:rowOff>57150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333375</xdr:colOff>
      <xdr:row>53</xdr:row>
      <xdr:rowOff>9525</xdr:rowOff>
    </xdr:from>
    <xdr:to>
      <xdr:col>14</xdr:col>
      <xdr:colOff>28575</xdr:colOff>
      <xdr:row>67</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333375</xdr:colOff>
      <xdr:row>74</xdr:row>
      <xdr:rowOff>19050</xdr:rowOff>
    </xdr:from>
    <xdr:to>
      <xdr:col>13</xdr:col>
      <xdr:colOff>28575</xdr:colOff>
      <xdr:row>88</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419100</xdr:colOff>
      <xdr:row>2</xdr:row>
      <xdr:rowOff>57150</xdr:rowOff>
    </xdr:from>
    <xdr:to>
      <xdr:col>15</xdr:col>
      <xdr:colOff>114300</xdr:colOff>
      <xdr:row>16</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438150</xdr:colOff>
      <xdr:row>16</xdr:row>
      <xdr:rowOff>152400</xdr:rowOff>
    </xdr:from>
    <xdr:to>
      <xdr:col>15</xdr:col>
      <xdr:colOff>133350</xdr:colOff>
      <xdr:row>31</xdr:row>
      <xdr:rowOff>38100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200024</xdr:colOff>
      <xdr:row>10</xdr:row>
      <xdr:rowOff>0</xdr:rowOff>
    </xdr:from>
    <xdr:to>
      <xdr:col>16</xdr:col>
      <xdr:colOff>285749</xdr:colOff>
      <xdr:row>22</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428625</xdr:colOff>
      <xdr:row>53</xdr:row>
      <xdr:rowOff>47625</xdr:rowOff>
    </xdr:from>
    <xdr:to>
      <xdr:col>17</xdr:col>
      <xdr:colOff>123825</xdr:colOff>
      <xdr:row>66</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14</xdr:row>
      <xdr:rowOff>0</xdr:rowOff>
    </xdr:from>
    <xdr:to>
      <xdr:col>15</xdr:col>
      <xdr:colOff>304800</xdr:colOff>
      <xdr:row>25</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14</xdr:row>
      <xdr:rowOff>0</xdr:rowOff>
    </xdr:from>
    <xdr:to>
      <xdr:col>24</xdr:col>
      <xdr:colOff>38100</xdr:colOff>
      <xdr:row>25</xdr:row>
      <xdr:rowOff>180975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105</xdr:row>
      <xdr:rowOff>0</xdr:rowOff>
    </xdr:from>
    <xdr:to>
      <xdr:col>18</xdr:col>
      <xdr:colOff>304800</xdr:colOff>
      <xdr:row>117</xdr:row>
      <xdr:rowOff>180975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131</xdr:row>
      <xdr:rowOff>0</xdr:rowOff>
    </xdr:from>
    <xdr:to>
      <xdr:col>18</xdr:col>
      <xdr:colOff>303334</xdr:colOff>
      <xdr:row>144</xdr:row>
      <xdr:rowOff>180976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102577</xdr:colOff>
      <xdr:row>165</xdr:row>
      <xdr:rowOff>87923</xdr:rowOff>
    </xdr:from>
    <xdr:to>
      <xdr:col>1</xdr:col>
      <xdr:colOff>331177</xdr:colOff>
      <xdr:row>166</xdr:row>
      <xdr:rowOff>49823</xdr:rowOff>
    </xdr:to>
    <xdr:pic>
      <xdr:nvPicPr>
        <xdr:cNvPr id="7169" name="Picture 1" descr="http://www.texify.com/img/%5Cnormalsize%5C%21%5Chat%7By%7D_i.gif"/>
        <xdr:cNvPicPr>
          <a:picLocks noChangeAspect="1" noChangeArrowheads="1"/>
        </xdr:cNvPicPr>
      </xdr:nvPicPr>
      <xdr:blipFill>
        <a:blip xmlns:r="http://schemas.openxmlformats.org/officeDocument/2006/relationships" r:embed="rId6" cstate="print"/>
        <a:srcRect/>
        <a:stretch>
          <a:fillRect/>
        </a:stretch>
      </xdr:blipFill>
      <xdr:spPr bwMode="auto">
        <a:xfrm>
          <a:off x="710712" y="33506019"/>
          <a:ext cx="228600" cy="152400"/>
        </a:xfrm>
        <a:prstGeom prst="rect">
          <a:avLst/>
        </a:prstGeom>
        <a:noFill/>
      </xdr:spPr>
    </xdr:pic>
    <xdr:clientData/>
  </xdr:twoCellAnchor>
  <xdr:twoCellAnchor>
    <xdr:from>
      <xdr:col>7</xdr:col>
      <xdr:colOff>29308</xdr:colOff>
      <xdr:row>170</xdr:row>
      <xdr:rowOff>146539</xdr:rowOff>
    </xdr:from>
    <xdr:to>
      <xdr:col>14</xdr:col>
      <xdr:colOff>332641</xdr:colOff>
      <xdr:row>184</xdr:row>
      <xdr:rowOff>173649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249115</xdr:colOff>
      <xdr:row>189</xdr:row>
      <xdr:rowOff>21981</xdr:rowOff>
    </xdr:from>
    <xdr:to>
      <xdr:col>8</xdr:col>
      <xdr:colOff>552449</xdr:colOff>
      <xdr:row>206</xdr:row>
      <xdr:rowOff>107707</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228</xdr:row>
      <xdr:rowOff>0</xdr:rowOff>
    </xdr:from>
    <xdr:to>
      <xdr:col>14</xdr:col>
      <xdr:colOff>303333</xdr:colOff>
      <xdr:row>241</xdr:row>
      <xdr:rowOff>49521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228</xdr:row>
      <xdr:rowOff>0</xdr:rowOff>
    </xdr:from>
    <xdr:to>
      <xdr:col>22</xdr:col>
      <xdr:colOff>325745</xdr:colOff>
      <xdr:row>241</xdr:row>
      <xdr:rowOff>52108</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96</xdr:row>
      <xdr:rowOff>104775</xdr:rowOff>
    </xdr:from>
    <xdr:to>
      <xdr:col>5</xdr:col>
      <xdr:colOff>285750</xdr:colOff>
      <xdr:row>110</xdr:row>
      <xdr:rowOff>38100</xdr:rowOff>
    </xdr:to>
    <xdr:pic>
      <xdr:nvPicPr>
        <xdr:cNvPr id="409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71550" y="16154400"/>
          <a:ext cx="3743325" cy="2600325"/>
        </a:xfrm>
        <a:prstGeom prst="rect">
          <a:avLst/>
        </a:prstGeom>
        <a:noFill/>
      </xdr:spPr>
    </xdr:pic>
    <xdr:clientData/>
  </xdr:twoCellAnchor>
  <xdr:twoCellAnchor>
    <xdr:from>
      <xdr:col>5</xdr:col>
      <xdr:colOff>476250</xdr:colOff>
      <xdr:row>0</xdr:row>
      <xdr:rowOff>190500</xdr:rowOff>
    </xdr:from>
    <xdr:to>
      <xdr:col>12</xdr:col>
      <xdr:colOff>571500</xdr:colOff>
      <xdr:row>15</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35</xdr:row>
      <xdr:rowOff>9526</xdr:rowOff>
    </xdr:from>
    <xdr:to>
      <xdr:col>0</xdr:col>
      <xdr:colOff>372640</xdr:colOff>
      <xdr:row>36</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962651"/>
          <a:ext cx="325015" cy="18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600075</xdr:colOff>
      <xdr:row>31</xdr:row>
      <xdr:rowOff>0</xdr:rowOff>
    </xdr:from>
    <xdr:to>
      <xdr:col>12</xdr:col>
      <xdr:colOff>304800</xdr:colOff>
      <xdr:row>44</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15</xdr:row>
      <xdr:rowOff>0</xdr:rowOff>
    </xdr:from>
    <xdr:to>
      <xdr:col>12</xdr:col>
      <xdr:colOff>304799</xdr:colOff>
      <xdr:row>28</xdr:row>
      <xdr:rowOff>161925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19050</xdr:colOff>
      <xdr:row>51</xdr:row>
      <xdr:rowOff>0</xdr:rowOff>
    </xdr:from>
    <xdr:to>
      <xdr:col>12</xdr:col>
      <xdr:colOff>304800</xdr:colOff>
      <xdr:row>64</xdr:row>
      <xdr:rowOff>161925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71</xdr:row>
      <xdr:rowOff>0</xdr:rowOff>
    </xdr:from>
    <xdr:to>
      <xdr:col>12</xdr:col>
      <xdr:colOff>304800</xdr:colOff>
      <xdr:row>84</xdr:row>
      <xdr:rowOff>171450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9524</xdr:colOff>
      <xdr:row>91</xdr:row>
      <xdr:rowOff>0</xdr:rowOff>
    </xdr:from>
    <xdr:to>
      <xdr:col>12</xdr:col>
      <xdr:colOff>304799</xdr:colOff>
      <xdr:row>104</xdr:row>
      <xdr:rowOff>161925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9524</xdr:colOff>
      <xdr:row>111</xdr:row>
      <xdr:rowOff>0</xdr:rowOff>
    </xdr:from>
    <xdr:to>
      <xdr:col>12</xdr:col>
      <xdr:colOff>304799</xdr:colOff>
      <xdr:row>124</xdr:row>
      <xdr:rowOff>171450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523875</xdr:colOff>
      <xdr:row>14</xdr:row>
      <xdr:rowOff>114300</xdr:rowOff>
    </xdr:from>
    <xdr:to>
      <xdr:col>12</xdr:col>
      <xdr:colOff>190500</xdr:colOff>
      <xdr:row>27</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485775</xdr:colOff>
      <xdr:row>31</xdr:row>
      <xdr:rowOff>28575</xdr:rowOff>
    </xdr:from>
    <xdr:to>
      <xdr:col>13</xdr:col>
      <xdr:colOff>180975</xdr:colOff>
      <xdr:row>43</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600075</xdr:colOff>
      <xdr:row>68</xdr:row>
      <xdr:rowOff>0</xdr:rowOff>
    </xdr:from>
    <xdr:to>
      <xdr:col>13</xdr:col>
      <xdr:colOff>268061</xdr:colOff>
      <xdr:row>82</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476250</xdr:colOff>
      <xdr:row>14</xdr:row>
      <xdr:rowOff>66675</xdr:rowOff>
    </xdr:from>
    <xdr:to>
      <xdr:col>20</xdr:col>
      <xdr:colOff>171450</xdr:colOff>
      <xdr:row>28</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272143</xdr:colOff>
      <xdr:row>14</xdr:row>
      <xdr:rowOff>81643</xdr:rowOff>
    </xdr:from>
    <xdr:to>
      <xdr:col>27</xdr:col>
      <xdr:colOff>579664</xdr:colOff>
      <xdr:row>28</xdr:row>
      <xdr:rowOff>157843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408214</xdr:colOff>
      <xdr:row>30</xdr:row>
      <xdr:rowOff>163286</xdr:rowOff>
    </xdr:from>
    <xdr:to>
      <xdr:col>21</xdr:col>
      <xdr:colOff>81642</xdr:colOff>
      <xdr:row>44</xdr:row>
      <xdr:rowOff>95250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326571</xdr:colOff>
      <xdr:row>30</xdr:row>
      <xdr:rowOff>163286</xdr:rowOff>
    </xdr:from>
    <xdr:to>
      <xdr:col>29</xdr:col>
      <xdr:colOff>0</xdr:colOff>
      <xdr:row>44</xdr:row>
      <xdr:rowOff>95250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326572</xdr:colOff>
      <xdr:row>67</xdr:row>
      <xdr:rowOff>176893</xdr:rowOff>
    </xdr:from>
    <xdr:to>
      <xdr:col>21</xdr:col>
      <xdr:colOff>0</xdr:colOff>
      <xdr:row>82</xdr:row>
      <xdr:rowOff>68036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108857</xdr:colOff>
      <xdr:row>67</xdr:row>
      <xdr:rowOff>176892</xdr:rowOff>
    </xdr:from>
    <xdr:to>
      <xdr:col>28</xdr:col>
      <xdr:colOff>394607</xdr:colOff>
      <xdr:row>82</xdr:row>
      <xdr:rowOff>68035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326572</xdr:colOff>
      <xdr:row>97</xdr:row>
      <xdr:rowOff>40820</xdr:rowOff>
    </xdr:from>
    <xdr:to>
      <xdr:col>21</xdr:col>
      <xdr:colOff>0</xdr:colOff>
      <xdr:row>111</xdr:row>
      <xdr:rowOff>122463</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97</xdr:row>
      <xdr:rowOff>0</xdr:rowOff>
    </xdr:from>
    <xdr:to>
      <xdr:col>13</xdr:col>
      <xdr:colOff>276224</xdr:colOff>
      <xdr:row>110</xdr:row>
      <xdr:rowOff>161925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0</xdr:colOff>
      <xdr:row>97</xdr:row>
      <xdr:rowOff>-1</xdr:rowOff>
    </xdr:from>
    <xdr:to>
      <xdr:col>28</xdr:col>
      <xdr:colOff>285750</xdr:colOff>
      <xdr:row>111</xdr:row>
      <xdr:rowOff>81642</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33</xdr:col>
      <xdr:colOff>204107</xdr:colOff>
      <xdr:row>12</xdr:row>
      <xdr:rowOff>163286</xdr:rowOff>
    </xdr:from>
    <xdr:to>
      <xdr:col>40</xdr:col>
      <xdr:colOff>489857</xdr:colOff>
      <xdr:row>27</xdr:row>
      <xdr:rowOff>54429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33</xdr:col>
      <xdr:colOff>408215</xdr:colOff>
      <xdr:row>31</xdr:row>
      <xdr:rowOff>149679</xdr:rowOff>
    </xdr:from>
    <xdr:to>
      <xdr:col>41</xdr:col>
      <xdr:colOff>81643</xdr:colOff>
      <xdr:row>45</xdr:row>
      <xdr:rowOff>81643</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34</xdr:col>
      <xdr:colOff>217714</xdr:colOff>
      <xdr:row>95</xdr:row>
      <xdr:rowOff>68035</xdr:rowOff>
    </xdr:from>
    <xdr:to>
      <xdr:col>41</xdr:col>
      <xdr:colOff>503464</xdr:colOff>
      <xdr:row>109</xdr:row>
      <xdr:rowOff>149678</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33</xdr:col>
      <xdr:colOff>381000</xdr:colOff>
      <xdr:row>70</xdr:row>
      <xdr:rowOff>68035</xdr:rowOff>
    </xdr:from>
    <xdr:to>
      <xdr:col>41</xdr:col>
      <xdr:colOff>54428</xdr:colOff>
      <xdr:row>84</xdr:row>
      <xdr:rowOff>149678</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1162050</xdr:colOff>
      <xdr:row>56</xdr:row>
      <xdr:rowOff>180975</xdr:rowOff>
    </xdr:to>
    <xdr:pic>
      <xdr:nvPicPr>
        <xdr:cNvPr id="6145" name="Picture 1" descr="Y(i) = f(X(i) + E(i)"/>
        <xdr:cNvPicPr>
          <a:picLocks noChangeAspect="1" noChangeArrowheads="1"/>
        </xdr:cNvPicPr>
      </xdr:nvPicPr>
      <xdr:blipFill>
        <a:blip xmlns:r="http://schemas.openxmlformats.org/officeDocument/2006/relationships" r:embed="rId1" cstate="print"/>
        <a:srcRect/>
        <a:stretch>
          <a:fillRect/>
        </a:stretch>
      </xdr:blipFill>
      <xdr:spPr bwMode="auto">
        <a:xfrm>
          <a:off x="0" y="9429750"/>
          <a:ext cx="1162050" cy="180975"/>
        </a:xfrm>
        <a:prstGeom prst="rect">
          <a:avLst/>
        </a:prstGeom>
        <a:noFill/>
      </xdr:spPr>
    </xdr:pic>
    <xdr:clientData/>
  </xdr:twoCellAnchor>
  <xdr:twoCellAnchor editAs="oneCell">
    <xdr:from>
      <xdr:col>0</xdr:col>
      <xdr:colOff>0</xdr:colOff>
      <xdr:row>70</xdr:row>
      <xdr:rowOff>0</xdr:rowOff>
    </xdr:from>
    <xdr:to>
      <xdr:col>8</xdr:col>
      <xdr:colOff>369794</xdr:colOff>
      <xdr:row>115</xdr:row>
      <xdr:rowOff>95250</xdr:rowOff>
    </xdr:to>
    <xdr:pic>
      <xdr:nvPicPr>
        <xdr:cNvPr id="6146" name="Picture 2" descr="6-plot shows 6 different model validation plots"/>
        <xdr:cNvPicPr>
          <a:picLocks noChangeAspect="1" noChangeArrowheads="1"/>
        </xdr:cNvPicPr>
      </xdr:nvPicPr>
      <xdr:blipFill>
        <a:blip xmlns:r="http://schemas.openxmlformats.org/officeDocument/2006/relationships" r:embed="rId2" cstate="print"/>
        <a:srcRect/>
        <a:stretch>
          <a:fillRect/>
        </a:stretch>
      </xdr:blipFill>
      <xdr:spPr bwMode="auto">
        <a:xfrm>
          <a:off x="0" y="14399559"/>
          <a:ext cx="11217088" cy="866775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361950</xdr:colOff>
      <xdr:row>5</xdr:row>
      <xdr:rowOff>76200</xdr:rowOff>
    </xdr:from>
    <xdr:to>
      <xdr:col>13</xdr:col>
      <xdr:colOff>57150</xdr:colOff>
      <xdr:row>19</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60</xdr:row>
      <xdr:rowOff>0</xdr:rowOff>
    </xdr:from>
    <xdr:to>
      <xdr:col>5</xdr:col>
      <xdr:colOff>381000</xdr:colOff>
      <xdr:row>74</xdr:row>
      <xdr:rowOff>0</xdr:rowOff>
    </xdr:to>
    <xdr:pic>
      <xdr:nvPicPr>
        <xdr:cNvPr id="8193" name="Picture 1" descr="http://www.itl.nist.gov/div898/handbook/eda/gif/6plot.gif"/>
        <xdr:cNvPicPr>
          <a:picLocks noChangeAspect="1" noChangeArrowheads="1"/>
        </xdr:cNvPicPr>
      </xdr:nvPicPr>
      <xdr:blipFill>
        <a:blip xmlns:r="http://schemas.openxmlformats.org/officeDocument/2006/relationships" r:embed="rId2" cstate="print"/>
        <a:srcRect/>
        <a:stretch>
          <a:fillRect/>
        </a:stretch>
      </xdr:blipFill>
      <xdr:spPr bwMode="auto">
        <a:xfrm>
          <a:off x="0" y="10668000"/>
          <a:ext cx="3619500" cy="2667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itl.nist.gov/div898/handbook/eda/section3/scatterp.htm" TargetMode="External"/><Relationship Id="rId7" Type="http://schemas.openxmlformats.org/officeDocument/2006/relationships/hyperlink" Target="http://www.itl.nist.gov/div898/handbook/eda/section3/normprpl.htm" TargetMode="External"/><Relationship Id="rId2" Type="http://schemas.openxmlformats.org/officeDocument/2006/relationships/hyperlink" Target="http://www.itl.nist.gov/div898/handbook/eda/section3/scatterp.htm" TargetMode="External"/><Relationship Id="rId1" Type="http://schemas.openxmlformats.org/officeDocument/2006/relationships/hyperlink" Target="http://www.itl.nist.gov/div898/handbook/eda/section3/6plot.htm" TargetMode="External"/><Relationship Id="rId6" Type="http://schemas.openxmlformats.org/officeDocument/2006/relationships/hyperlink" Target="http://www.itl.nist.gov/div898/handbook/eda/section3/histogra.htm" TargetMode="External"/><Relationship Id="rId5" Type="http://schemas.openxmlformats.org/officeDocument/2006/relationships/hyperlink" Target="http://www.itl.nist.gov/div898/handbook/eda/section3/lagplot.htm" TargetMode="External"/><Relationship Id="rId4" Type="http://schemas.openxmlformats.org/officeDocument/2006/relationships/hyperlink" Target="http://www.itl.nist.gov/div898/handbook/eda/section3/scatterp.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bin"/><Relationship Id="rId1" Type="http://schemas.openxmlformats.org/officeDocument/2006/relationships/hyperlink" Target="http://itl.nist.gov/div898/strd/lls/data/LINKS/DATA/Pontius.dat"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hyperlink" Target="http://home.htva.net/~bock/LOBFderivWS.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en.wikipedia.org/wiki/Pearson_product-moment_correlation_coefficient" TargetMode="Externa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abSelected="1" zoomScaleNormal="100" workbookViewId="0">
      <selection activeCell="B6" sqref="B6"/>
    </sheetView>
  </sheetViews>
  <sheetFormatPr defaultRowHeight="15" x14ac:dyDescent="0.25"/>
  <cols>
    <col min="1" max="1" width="10.5703125" customWidth="1"/>
    <col min="2" max="2" width="19.140625" customWidth="1"/>
  </cols>
  <sheetData>
    <row r="1" spans="1:2" ht="20.25" thickBot="1" x14ac:dyDescent="0.35">
      <c r="A1" s="55" t="s">
        <v>533</v>
      </c>
    </row>
    <row r="2" spans="1:2" ht="15.75" thickTop="1" x14ac:dyDescent="0.25"/>
    <row r="3" spans="1:2" x14ac:dyDescent="0.25">
      <c r="A3" t="s">
        <v>851</v>
      </c>
    </row>
    <row r="4" spans="1:2" x14ac:dyDescent="0.25">
      <c r="A4" t="s">
        <v>11</v>
      </c>
    </row>
    <row r="5" spans="1:2" x14ac:dyDescent="0.25">
      <c r="A5" t="s">
        <v>57</v>
      </c>
    </row>
    <row r="6" spans="1:2" x14ac:dyDescent="0.25">
      <c r="B6" s="10"/>
    </row>
    <row r="7" spans="1:2" x14ac:dyDescent="0.25">
      <c r="B7" s="10"/>
    </row>
    <row r="8" spans="1:2" x14ac:dyDescent="0.25">
      <c r="B8" s="10"/>
    </row>
    <row r="10" spans="1:2" x14ac:dyDescent="0.25">
      <c r="B10" t="s">
        <v>667</v>
      </c>
    </row>
    <row r="11" spans="1:2" x14ac:dyDescent="0.25">
      <c r="B11" t="s">
        <v>311</v>
      </c>
    </row>
    <row r="12" spans="1:2" x14ac:dyDescent="0.25">
      <c r="B12" t="s">
        <v>48</v>
      </c>
    </row>
    <row r="13" spans="1:2" x14ac:dyDescent="0.25">
      <c r="B13" t="s">
        <v>49</v>
      </c>
    </row>
    <row r="15" spans="1:2" x14ac:dyDescent="0.25">
      <c r="B15" t="s">
        <v>673</v>
      </c>
    </row>
    <row r="17" spans="1:3" x14ac:dyDescent="0.25">
      <c r="B17" t="s">
        <v>674</v>
      </c>
    </row>
    <row r="18" spans="1:3" x14ac:dyDescent="0.25">
      <c r="B18" t="s">
        <v>12</v>
      </c>
    </row>
    <row r="19" spans="1:3" x14ac:dyDescent="0.25">
      <c r="A19" t="s">
        <v>45</v>
      </c>
      <c r="B19" t="s">
        <v>669</v>
      </c>
      <c r="C19" t="s">
        <v>668</v>
      </c>
    </row>
    <row r="20" spans="1:3" x14ac:dyDescent="0.25">
      <c r="A20">
        <v>1</v>
      </c>
      <c r="B20">
        <v>20</v>
      </c>
      <c r="C20" s="1">
        <v>2.3769999999999998</v>
      </c>
    </row>
    <row r="21" spans="1:3" x14ac:dyDescent="0.25">
      <c r="A21">
        <v>2</v>
      </c>
      <c r="B21">
        <v>20</v>
      </c>
      <c r="C21" s="1">
        <v>2.0819999999999999</v>
      </c>
    </row>
    <row r="22" spans="1:3" x14ac:dyDescent="0.25">
      <c r="A22">
        <v>3</v>
      </c>
      <c r="B22">
        <v>20</v>
      </c>
      <c r="C22" s="1">
        <v>2.2909999999999999</v>
      </c>
    </row>
    <row r="23" spans="1:3" x14ac:dyDescent="0.25">
      <c r="A23">
        <v>4</v>
      </c>
      <c r="B23">
        <v>40</v>
      </c>
      <c r="C23" s="1">
        <v>2.61</v>
      </c>
    </row>
    <row r="24" spans="1:3" x14ac:dyDescent="0.25">
      <c r="A24">
        <v>5</v>
      </c>
      <c r="B24">
        <v>40</v>
      </c>
      <c r="C24" s="1">
        <v>2.194</v>
      </c>
    </row>
    <row r="25" spans="1:3" x14ac:dyDescent="0.25">
      <c r="A25">
        <v>6</v>
      </c>
      <c r="B25">
        <v>40</v>
      </c>
      <c r="C25" s="1">
        <v>2.718</v>
      </c>
    </row>
    <row r="26" spans="1:3" x14ac:dyDescent="0.25">
      <c r="A26">
        <v>7</v>
      </c>
      <c r="B26">
        <v>60</v>
      </c>
      <c r="C26" s="1">
        <v>2.9359999999999999</v>
      </c>
    </row>
    <row r="27" spans="1:3" x14ac:dyDescent="0.25">
      <c r="A27">
        <v>8</v>
      </c>
      <c r="B27">
        <v>60</v>
      </c>
      <c r="C27" s="1">
        <v>2.5409999999999999</v>
      </c>
    </row>
    <row r="28" spans="1:3" x14ac:dyDescent="0.25">
      <c r="A28">
        <v>9</v>
      </c>
      <c r="B28">
        <v>60</v>
      </c>
      <c r="C28" s="1">
        <v>2.97</v>
      </c>
    </row>
    <row r="29" spans="1:3" x14ac:dyDescent="0.25">
      <c r="A29">
        <v>10</v>
      </c>
      <c r="B29">
        <v>80</v>
      </c>
      <c r="C29" s="1">
        <v>2.9589999999999996</v>
      </c>
    </row>
    <row r="30" spans="1:3" x14ac:dyDescent="0.25">
      <c r="A30">
        <v>11</v>
      </c>
      <c r="B30">
        <v>80</v>
      </c>
      <c r="C30" s="1">
        <v>3.2079999999999997</v>
      </c>
    </row>
    <row r="31" spans="1:3" x14ac:dyDescent="0.25">
      <c r="A31">
        <v>12</v>
      </c>
      <c r="B31">
        <v>80</v>
      </c>
      <c r="C31" s="1">
        <v>2.4319999999999999</v>
      </c>
    </row>
    <row r="35" spans="1:3" x14ac:dyDescent="0.25">
      <c r="A35" t="s">
        <v>681</v>
      </c>
    </row>
    <row r="36" spans="1:3" ht="39" x14ac:dyDescent="0.25">
      <c r="A36" t="s">
        <v>46</v>
      </c>
      <c r="B36" s="68" t="s">
        <v>670</v>
      </c>
      <c r="C36" s="2" t="s">
        <v>671</v>
      </c>
    </row>
    <row r="37" spans="1:3" x14ac:dyDescent="0.25">
      <c r="A37">
        <v>1</v>
      </c>
      <c r="B37" s="5">
        <v>60697</v>
      </c>
      <c r="C37" s="3">
        <v>16.644444444444446</v>
      </c>
    </row>
    <row r="38" spans="1:3" x14ac:dyDescent="0.25">
      <c r="A38">
        <v>2</v>
      </c>
      <c r="B38" s="5">
        <v>50156</v>
      </c>
      <c r="C38" s="3">
        <v>15.991228070175438</v>
      </c>
    </row>
    <row r="39" spans="1:3" x14ac:dyDescent="0.25">
      <c r="A39">
        <v>3</v>
      </c>
      <c r="B39" s="5">
        <v>45448</v>
      </c>
      <c r="C39" s="3">
        <v>16.55952380952381</v>
      </c>
    </row>
    <row r="40" spans="1:3" x14ac:dyDescent="0.25">
      <c r="A40">
        <v>4</v>
      </c>
      <c r="B40" s="5">
        <v>46504</v>
      </c>
      <c r="C40" s="3">
        <v>13.487603305785123</v>
      </c>
    </row>
    <row r="41" spans="1:3" x14ac:dyDescent="0.25">
      <c r="A41">
        <v>5</v>
      </c>
      <c r="B41" s="5">
        <v>52424</v>
      </c>
      <c r="C41" s="3">
        <v>16.048780487804876</v>
      </c>
    </row>
    <row r="42" spans="1:3" x14ac:dyDescent="0.25">
      <c r="A42">
        <v>6</v>
      </c>
      <c r="B42" s="5">
        <v>42508</v>
      </c>
      <c r="C42" s="3">
        <v>14.808219178082192</v>
      </c>
    </row>
    <row r="43" spans="1:3" x14ac:dyDescent="0.25">
      <c r="A43">
        <v>7</v>
      </c>
      <c r="B43" s="5">
        <v>50831</v>
      </c>
      <c r="C43" s="3">
        <v>18.939110070257613</v>
      </c>
    </row>
    <row r="44" spans="1:3" x14ac:dyDescent="0.25">
      <c r="A44">
        <v>8</v>
      </c>
      <c r="B44" s="5">
        <v>48376</v>
      </c>
      <c r="C44" s="3">
        <v>16.607279693486589</v>
      </c>
    </row>
    <row r="45" spans="1:3" x14ac:dyDescent="0.25">
      <c r="A45">
        <v>9</v>
      </c>
      <c r="B45" s="5">
        <v>49992</v>
      </c>
      <c r="C45" s="3">
        <v>14.943127962085308</v>
      </c>
    </row>
    <row r="46" spans="1:3" x14ac:dyDescent="0.25">
      <c r="A46">
        <v>10</v>
      </c>
      <c r="B46" s="5">
        <v>45368</v>
      </c>
      <c r="C46" s="3">
        <v>15.847619047619048</v>
      </c>
    </row>
    <row r="47" spans="1:3" x14ac:dyDescent="0.25">
      <c r="A47">
        <v>11</v>
      </c>
      <c r="B47" s="5">
        <v>47169</v>
      </c>
      <c r="C47" s="3">
        <v>14.41095890410959</v>
      </c>
    </row>
    <row r="48" spans="1:3" x14ac:dyDescent="0.25">
      <c r="A48">
        <v>12</v>
      </c>
      <c r="B48" s="5">
        <v>51145</v>
      </c>
      <c r="C48" s="3">
        <v>16.505050505050505</v>
      </c>
    </row>
    <row r="49" spans="1:3" x14ac:dyDescent="0.25">
      <c r="A49">
        <v>13</v>
      </c>
      <c r="B49" s="5">
        <v>53487</v>
      </c>
      <c r="C49" s="3">
        <v>15.180778032036613</v>
      </c>
    </row>
    <row r="50" spans="1:3" x14ac:dyDescent="0.25">
      <c r="A50">
        <v>14</v>
      </c>
      <c r="B50" s="5">
        <v>50216</v>
      </c>
      <c r="C50" s="3">
        <v>13.717391304347826</v>
      </c>
    </row>
    <row r="51" spans="1:3" x14ac:dyDescent="0.25">
      <c r="A51">
        <v>15</v>
      </c>
      <c r="B51" s="5">
        <v>39270</v>
      </c>
      <c r="C51" s="3">
        <v>11.772727272727273</v>
      </c>
    </row>
    <row r="52" spans="1:3" x14ac:dyDescent="0.25">
      <c r="A52">
        <v>16</v>
      </c>
      <c r="B52" s="5">
        <v>45687</v>
      </c>
      <c r="C52" s="3">
        <v>13.456140350877194</v>
      </c>
    </row>
    <row r="53" spans="1:3" x14ac:dyDescent="0.25">
      <c r="A53">
        <v>17</v>
      </c>
      <c r="B53" s="5">
        <v>46099</v>
      </c>
      <c r="C53" s="3">
        <v>17.547794117647058</v>
      </c>
    </row>
    <row r="54" spans="1:3" x14ac:dyDescent="0.25">
      <c r="A54">
        <v>18</v>
      </c>
      <c r="B54" s="5">
        <v>48109</v>
      </c>
      <c r="C54" s="3">
        <v>16.304878048780488</v>
      </c>
    </row>
    <row r="55" spans="1:3" x14ac:dyDescent="0.25">
      <c r="A55">
        <v>19</v>
      </c>
      <c r="B55" s="5">
        <v>42562</v>
      </c>
      <c r="C55" s="3">
        <v>16.110294117647058</v>
      </c>
    </row>
    <row r="56" spans="1:3" x14ac:dyDescent="0.25">
      <c r="A56">
        <v>20</v>
      </c>
      <c r="B56" s="5">
        <v>56941</v>
      </c>
      <c r="C56" s="3">
        <v>17.514285714285716</v>
      </c>
    </row>
    <row r="57" spans="1:3" x14ac:dyDescent="0.25">
      <c r="A57">
        <v>21</v>
      </c>
      <c r="B57" s="5">
        <v>43300</v>
      </c>
      <c r="C57" s="3">
        <v>17.384236453201972</v>
      </c>
    </row>
    <row r="58" spans="1:3" x14ac:dyDescent="0.25">
      <c r="A58">
        <v>22</v>
      </c>
      <c r="B58" s="5">
        <v>47331</v>
      </c>
      <c r="C58" s="3">
        <v>16.691056910569106</v>
      </c>
    </row>
    <row r="59" spans="1:3" x14ac:dyDescent="0.25">
      <c r="A59">
        <v>23</v>
      </c>
      <c r="B59" s="5">
        <v>45485</v>
      </c>
      <c r="C59" s="3">
        <v>15.896551724137931</v>
      </c>
    </row>
    <row r="60" spans="1:3" x14ac:dyDescent="0.25">
      <c r="A60">
        <v>24</v>
      </c>
      <c r="B60" s="5">
        <v>47220</v>
      </c>
      <c r="C60" s="3">
        <v>18.835443037974684</v>
      </c>
    </row>
    <row r="61" spans="1:3" x14ac:dyDescent="0.25">
      <c r="A61">
        <v>25</v>
      </c>
      <c r="B61" s="5">
        <v>45860</v>
      </c>
      <c r="C61" s="3">
        <v>15.278350515463918</v>
      </c>
    </row>
    <row r="62" spans="1:3" x14ac:dyDescent="0.25">
      <c r="A62">
        <v>26</v>
      </c>
      <c r="B62" s="5">
        <v>47051</v>
      </c>
      <c r="C62" s="3">
        <v>15.47191011235955</v>
      </c>
    </row>
    <row r="63" spans="1:3" x14ac:dyDescent="0.25">
      <c r="A63">
        <v>27</v>
      </c>
      <c r="B63" s="5">
        <v>67738</v>
      </c>
      <c r="C63" s="3">
        <v>16.923076923076923</v>
      </c>
    </row>
    <row r="64" spans="1:3" x14ac:dyDescent="0.25">
      <c r="A64">
        <v>28</v>
      </c>
      <c r="B64" s="5">
        <v>40175</v>
      </c>
      <c r="C64" s="3">
        <v>11.984375</v>
      </c>
    </row>
    <row r="65" spans="1:6" x14ac:dyDescent="0.25">
      <c r="A65">
        <v>29</v>
      </c>
      <c r="B65" s="5">
        <v>47421</v>
      </c>
      <c r="C65" s="3">
        <v>17.861111111111111</v>
      </c>
    </row>
    <row r="66" spans="1:6" x14ac:dyDescent="0.25">
      <c r="A66">
        <v>30</v>
      </c>
      <c r="B66" s="5">
        <v>45961</v>
      </c>
      <c r="C66" s="3">
        <v>14.560606060606061</v>
      </c>
    </row>
    <row r="67" spans="1:6" x14ac:dyDescent="0.25">
      <c r="B67" s="5"/>
      <c r="C67" s="3"/>
    </row>
    <row r="68" spans="1:6" x14ac:dyDescent="0.25">
      <c r="A68" t="s">
        <v>672</v>
      </c>
    </row>
    <row r="69" spans="1:6" x14ac:dyDescent="0.25">
      <c r="A69" t="s">
        <v>14</v>
      </c>
      <c r="F69" t="s">
        <v>312</v>
      </c>
    </row>
    <row r="70" spans="1:6" x14ac:dyDescent="0.25">
      <c r="A70" s="6" t="s">
        <v>3</v>
      </c>
      <c r="B70" s="9" t="s">
        <v>4</v>
      </c>
    </row>
    <row r="71" spans="1:6" x14ac:dyDescent="0.25">
      <c r="A71" s="6">
        <v>1790</v>
      </c>
      <c r="B71" s="8">
        <v>1307417</v>
      </c>
    </row>
    <row r="72" spans="1:6" x14ac:dyDescent="0.25">
      <c r="A72" s="6">
        <v>1800</v>
      </c>
      <c r="B72" s="8">
        <v>2003250</v>
      </c>
    </row>
    <row r="73" spans="1:6" x14ac:dyDescent="0.25">
      <c r="A73" s="6">
        <v>1810</v>
      </c>
      <c r="B73" s="8">
        <v>2398572</v>
      </c>
    </row>
    <row r="74" spans="1:6" x14ac:dyDescent="0.25">
      <c r="A74" s="6">
        <v>1820</v>
      </c>
      <c r="B74" s="8">
        <v>3227567</v>
      </c>
    </row>
    <row r="75" spans="1:6" x14ac:dyDescent="0.25">
      <c r="A75" s="6">
        <v>1830</v>
      </c>
      <c r="B75" s="8">
        <v>4203433</v>
      </c>
    </row>
    <row r="76" spans="1:6" x14ac:dyDescent="0.25">
      <c r="A76" s="6">
        <v>1840</v>
      </c>
      <c r="B76" s="8">
        <v>6122423</v>
      </c>
    </row>
    <row r="77" spans="1:6" x14ac:dyDescent="0.25">
      <c r="A77" s="6">
        <v>1850</v>
      </c>
      <c r="B77" s="8">
        <v>8251445</v>
      </c>
    </row>
    <row r="78" spans="1:6" x14ac:dyDescent="0.25">
      <c r="A78" s="6">
        <v>1860</v>
      </c>
      <c r="B78" s="8">
        <v>7115050</v>
      </c>
    </row>
    <row r="79" spans="1:6" x14ac:dyDescent="0.25">
      <c r="A79" s="6">
        <v>1870</v>
      </c>
      <c r="B79" s="8">
        <v>10812969</v>
      </c>
    </row>
    <row r="80" spans="1:6" x14ac:dyDescent="0.25">
      <c r="A80" s="6">
        <v>1880</v>
      </c>
      <c r="B80" s="8">
        <v>13608426</v>
      </c>
    </row>
    <row r="81" spans="1:3" x14ac:dyDescent="0.25">
      <c r="A81" s="6">
        <v>1890</v>
      </c>
      <c r="B81" s="8">
        <v>13232402</v>
      </c>
    </row>
    <row r="82" spans="1:3" x14ac:dyDescent="0.25">
      <c r="A82" s="6">
        <v>1900</v>
      </c>
      <c r="B82" s="8">
        <v>16016328</v>
      </c>
    </row>
    <row r="83" spans="1:3" x14ac:dyDescent="0.25">
      <c r="A83" s="6">
        <v>1910</v>
      </c>
      <c r="B83" s="8">
        <v>13793041</v>
      </c>
    </row>
    <row r="84" spans="1:3" x14ac:dyDescent="0.25">
      <c r="A84" s="6">
        <v>1920</v>
      </c>
      <c r="B84" s="8">
        <v>17181087</v>
      </c>
    </row>
    <row r="85" spans="1:3" x14ac:dyDescent="0.25">
      <c r="A85" s="6">
        <v>1930</v>
      </c>
      <c r="B85" s="8">
        <v>8961945</v>
      </c>
    </row>
    <row r="86" spans="1:3" x14ac:dyDescent="0.25">
      <c r="A86" s="6">
        <v>1940</v>
      </c>
      <c r="B86" s="8">
        <v>19161229</v>
      </c>
    </row>
    <row r="87" spans="1:3" x14ac:dyDescent="0.25">
      <c r="A87" s="6">
        <v>1950</v>
      </c>
      <c r="B87" s="8">
        <v>27997377</v>
      </c>
    </row>
    <row r="88" spans="1:3" x14ac:dyDescent="0.25">
      <c r="A88" s="6">
        <v>1960</v>
      </c>
      <c r="B88" s="8">
        <v>23888751</v>
      </c>
    </row>
    <row r="89" spans="1:3" x14ac:dyDescent="0.25">
      <c r="A89" s="6">
        <v>1970</v>
      </c>
      <c r="B89" s="8">
        <v>23333879</v>
      </c>
    </row>
    <row r="90" spans="1:3" x14ac:dyDescent="0.25">
      <c r="A90" s="6">
        <v>1980</v>
      </c>
      <c r="B90" s="8">
        <v>22164068</v>
      </c>
    </row>
    <row r="91" spans="1:3" x14ac:dyDescent="0.25">
      <c r="A91" s="6">
        <v>1990</v>
      </c>
      <c r="B91" s="8">
        <v>32712033</v>
      </c>
    </row>
    <row r="92" spans="1:3" x14ac:dyDescent="0.25">
      <c r="A92" s="6"/>
      <c r="B92" s="7"/>
      <c r="C92" s="8"/>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zoomScale="85" zoomScaleNormal="85" workbookViewId="0">
      <selection activeCell="B20" sqref="B20"/>
    </sheetView>
  </sheetViews>
  <sheetFormatPr defaultRowHeight="15" x14ac:dyDescent="0.25"/>
  <cols>
    <col min="1" max="1" width="99.140625" customWidth="1"/>
  </cols>
  <sheetData>
    <row r="1" spans="1:1" ht="18" thickBot="1" x14ac:dyDescent="0.35">
      <c r="A1" s="54" t="s">
        <v>571</v>
      </c>
    </row>
    <row r="2" spans="1:1" ht="15.75" thickTop="1" x14ac:dyDescent="0.25"/>
    <row r="3" spans="1:1" x14ac:dyDescent="0.25">
      <c r="A3" t="s">
        <v>572</v>
      </c>
    </row>
    <row r="4" spans="1:1" x14ac:dyDescent="0.25">
      <c r="A4" t="s">
        <v>580</v>
      </c>
    </row>
    <row r="5" spans="1:1" x14ac:dyDescent="0.25">
      <c r="A5" t="s">
        <v>573</v>
      </c>
    </row>
    <row r="6" spans="1:1" x14ac:dyDescent="0.25">
      <c r="A6" t="s">
        <v>574</v>
      </c>
    </row>
    <row r="7" spans="1:1" x14ac:dyDescent="0.25">
      <c r="A7" t="s">
        <v>575</v>
      </c>
    </row>
    <row r="8" spans="1:1" x14ac:dyDescent="0.25">
      <c r="A8" t="s">
        <v>577</v>
      </c>
    </row>
    <row r="9" spans="1:1" x14ac:dyDescent="0.25">
      <c r="A9" t="s">
        <v>578</v>
      </c>
    </row>
    <row r="10" spans="1:1" x14ac:dyDescent="0.25">
      <c r="A10" t="s">
        <v>581</v>
      </c>
    </row>
    <row r="13" spans="1:1" x14ac:dyDescent="0.25">
      <c r="A13" s="25" t="s">
        <v>122</v>
      </c>
    </row>
    <row r="16" spans="1:1" ht="18.75" x14ac:dyDescent="0.3">
      <c r="A16" s="26" t="s">
        <v>123</v>
      </c>
    </row>
    <row r="18" spans="1:2" ht="18.75" x14ac:dyDescent="0.3">
      <c r="A18" s="27" t="s">
        <v>124</v>
      </c>
    </row>
    <row r="19" spans="1:2" x14ac:dyDescent="0.25">
      <c r="A19" s="28"/>
      <c r="B19" t="s">
        <v>579</v>
      </c>
    </row>
    <row r="20" spans="1:2" x14ac:dyDescent="0.25">
      <c r="A20" s="30" t="s">
        <v>125</v>
      </c>
      <c r="B20" s="10"/>
    </row>
    <row r="21" spans="1:2" x14ac:dyDescent="0.25">
      <c r="A21" s="30" t="s">
        <v>126</v>
      </c>
      <c r="B21" s="10"/>
    </row>
    <row r="22" spans="1:2" x14ac:dyDescent="0.25">
      <c r="A22" s="30" t="s">
        <v>127</v>
      </c>
      <c r="B22" s="10"/>
    </row>
    <row r="23" spans="1:2" x14ac:dyDescent="0.25">
      <c r="A23" s="30" t="s">
        <v>128</v>
      </c>
      <c r="B23" s="10"/>
    </row>
    <row r="24" spans="1:2" x14ac:dyDescent="0.25">
      <c r="A24" s="30" t="s">
        <v>129</v>
      </c>
      <c r="B24" s="10"/>
    </row>
    <row r="25" spans="1:2" x14ac:dyDescent="0.25">
      <c r="A25" s="30" t="s">
        <v>130</v>
      </c>
      <c r="B25" s="10"/>
    </row>
    <row r="27" spans="1:2" x14ac:dyDescent="0.25">
      <c r="A27" s="32" t="s">
        <v>131</v>
      </c>
    </row>
    <row r="28" spans="1:2" x14ac:dyDescent="0.25">
      <c r="A28" s="33"/>
    </row>
    <row r="29" spans="1:2" x14ac:dyDescent="0.25">
      <c r="A29" s="34" t="s">
        <v>132</v>
      </c>
    </row>
    <row r="30" spans="1:2" x14ac:dyDescent="0.25">
      <c r="A30" s="35" t="s">
        <v>133</v>
      </c>
    </row>
    <row r="31" spans="1:2" x14ac:dyDescent="0.25">
      <c r="A31" s="35" t="s">
        <v>134</v>
      </c>
    </row>
    <row r="32" spans="1:2" x14ac:dyDescent="0.25">
      <c r="A32" s="34" t="s">
        <v>135</v>
      </c>
    </row>
    <row r="33" spans="1:1" x14ac:dyDescent="0.25">
      <c r="A33" s="35" t="s">
        <v>136</v>
      </c>
    </row>
    <row r="34" spans="1:1" x14ac:dyDescent="0.25">
      <c r="A34" s="35" t="s">
        <v>134</v>
      </c>
    </row>
    <row r="35" spans="1:1" x14ac:dyDescent="0.25">
      <c r="A35" s="34" t="s">
        <v>137</v>
      </c>
    </row>
    <row r="36" spans="1:1" x14ac:dyDescent="0.25">
      <c r="A36" s="35" t="s">
        <v>136</v>
      </c>
    </row>
    <row r="37" spans="1:1" x14ac:dyDescent="0.25">
      <c r="A37" s="35" t="s">
        <v>138</v>
      </c>
    </row>
    <row r="38" spans="1:1" x14ac:dyDescent="0.25">
      <c r="A38" s="34" t="s">
        <v>139</v>
      </c>
    </row>
    <row r="39" spans="1:1" x14ac:dyDescent="0.25">
      <c r="A39" s="35" t="s">
        <v>140</v>
      </c>
    </row>
    <row r="40" spans="1:1" x14ac:dyDescent="0.25">
      <c r="A40" s="35" t="s">
        <v>141</v>
      </c>
    </row>
    <row r="41" spans="1:1" x14ac:dyDescent="0.25">
      <c r="A41" s="34" t="s">
        <v>142</v>
      </c>
    </row>
    <row r="42" spans="1:1" x14ac:dyDescent="0.25">
      <c r="A42" s="35" t="s">
        <v>143</v>
      </c>
    </row>
    <row r="43" spans="1:1" x14ac:dyDescent="0.25">
      <c r="A43" s="35" t="s">
        <v>144</v>
      </c>
    </row>
    <row r="44" spans="1:1" x14ac:dyDescent="0.25">
      <c r="A44" s="34" t="s">
        <v>145</v>
      </c>
    </row>
    <row r="45" spans="1:1" x14ac:dyDescent="0.25">
      <c r="A45" s="35" t="s">
        <v>146</v>
      </c>
    </row>
    <row r="46" spans="1:1" x14ac:dyDescent="0.25">
      <c r="A46" s="35" t="s">
        <v>147</v>
      </c>
    </row>
    <row r="47" spans="1:1" x14ac:dyDescent="0.25">
      <c r="A47" s="31"/>
    </row>
    <row r="48" spans="1:1" x14ac:dyDescent="0.25">
      <c r="A48" s="32" t="s">
        <v>148</v>
      </c>
    </row>
    <row r="49" spans="1:2" x14ac:dyDescent="0.25">
      <c r="A49" s="33"/>
    </row>
    <row r="50" spans="1:2" x14ac:dyDescent="0.25">
      <c r="A50" s="34" t="s">
        <v>149</v>
      </c>
    </row>
    <row r="51" spans="1:2" x14ac:dyDescent="0.25">
      <c r="A51" s="34" t="s">
        <v>150</v>
      </c>
    </row>
    <row r="52" spans="1:2" x14ac:dyDescent="0.25">
      <c r="A52" s="34" t="s">
        <v>151</v>
      </c>
    </row>
    <row r="53" spans="1:2" x14ac:dyDescent="0.25">
      <c r="A53" s="34" t="s">
        <v>152</v>
      </c>
    </row>
    <row r="54" spans="1:2" x14ac:dyDescent="0.25">
      <c r="A54" s="36"/>
      <c r="B54" s="31"/>
    </row>
    <row r="55" spans="1:2" ht="18.75" x14ac:dyDescent="0.3">
      <c r="A55" s="26" t="s">
        <v>153</v>
      </c>
    </row>
    <row r="56" spans="1:2" ht="18.75" x14ac:dyDescent="0.3">
      <c r="A56" s="29"/>
    </row>
    <row r="57" spans="1:2" ht="18.75" x14ac:dyDescent="0.3">
      <c r="A57" s="29"/>
    </row>
    <row r="59" spans="1:2" ht="18.75" x14ac:dyDescent="0.3">
      <c r="A59" s="26" t="s">
        <v>154</v>
      </c>
    </row>
    <row r="60" spans="1:2" x14ac:dyDescent="0.25">
      <c r="A60" s="28"/>
    </row>
    <row r="61" spans="1:2" ht="18.75" x14ac:dyDescent="0.3">
      <c r="A61" s="29" t="s">
        <v>155</v>
      </c>
    </row>
    <row r="62" spans="1:2" ht="18.75" x14ac:dyDescent="0.3">
      <c r="A62" s="29" t="s">
        <v>156</v>
      </c>
    </row>
    <row r="63" spans="1:2" ht="18.75" x14ac:dyDescent="0.3">
      <c r="A63" s="29" t="s">
        <v>157</v>
      </c>
    </row>
    <row r="64" spans="1:2" ht="18.75" x14ac:dyDescent="0.3">
      <c r="A64" s="29" t="s">
        <v>158</v>
      </c>
    </row>
    <row r="66" spans="1:1" ht="18.75" x14ac:dyDescent="0.3">
      <c r="A66" s="26" t="s">
        <v>159</v>
      </c>
    </row>
    <row r="68" spans="1:1" ht="56.25" x14ac:dyDescent="0.3">
      <c r="A68" s="27" t="s">
        <v>160</v>
      </c>
    </row>
  </sheetData>
  <hyperlinks>
    <hyperlink ref="A13" r:id="rId1"/>
    <hyperlink ref="A20" r:id="rId2" display="http://www.itl.nist.gov/div898/handbook/eda/section3/scatterp.htm"/>
    <hyperlink ref="A21" r:id="rId3" display="http://www.itl.nist.gov/div898/handbook/eda/section3/scatterp.htm"/>
    <hyperlink ref="A22" r:id="rId4" display="http://www.itl.nist.gov/div898/handbook/eda/section3/scatterp.htm"/>
    <hyperlink ref="A23" r:id="rId5" display="http://www.itl.nist.gov/div898/handbook/eda/section3/lagplot.htm"/>
    <hyperlink ref="A24" r:id="rId6" display="http://www.itl.nist.gov/div898/handbook/eda/section3/histogra.htm"/>
    <hyperlink ref="A25" r:id="rId7" display="http://www.itl.nist.gov/div898/handbook/eda/section3/normprpl.htm"/>
  </hyperlinks>
  <pageMargins left="0.7" right="0.7" top="0.75" bottom="0.75" header="0.3" footer="0.3"/>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A5" sqref="A5"/>
    </sheetView>
  </sheetViews>
  <sheetFormatPr defaultRowHeight="15" x14ac:dyDescent="0.25"/>
  <cols>
    <col min="3" max="3" width="12" bestFit="1" customWidth="1"/>
  </cols>
  <sheetData>
    <row r="1" spans="1:4" ht="18" thickBot="1" x14ac:dyDescent="0.35">
      <c r="A1" s="54" t="s">
        <v>582</v>
      </c>
    </row>
    <row r="2" spans="1:4" ht="15.75" thickTop="1" x14ac:dyDescent="0.25"/>
    <row r="3" spans="1:4" x14ac:dyDescent="0.25">
      <c r="A3" t="s">
        <v>199</v>
      </c>
    </row>
    <row r="4" spans="1:4" x14ac:dyDescent="0.25">
      <c r="A4" t="s">
        <v>207</v>
      </c>
    </row>
    <row r="6" spans="1:4" x14ac:dyDescent="0.25">
      <c r="A6" t="s">
        <v>208</v>
      </c>
    </row>
    <row r="7" spans="1:4" x14ac:dyDescent="0.25">
      <c r="B7" s="57" t="s">
        <v>601</v>
      </c>
      <c r="C7">
        <f>INTERCEPT(B11:B50,A11:A50)</f>
        <v>6.1496842105264182E-3</v>
      </c>
    </row>
    <row r="8" spans="1:4" x14ac:dyDescent="0.25">
      <c r="B8" s="57" t="s">
        <v>602</v>
      </c>
      <c r="C8">
        <f>SLOPE(B11:B50,A11:A50)</f>
        <v>7.2210258145363409E-7</v>
      </c>
    </row>
    <row r="9" spans="1:4" x14ac:dyDescent="0.25">
      <c r="C9" t="s">
        <v>200</v>
      </c>
    </row>
    <row r="10" spans="1:4" x14ac:dyDescent="0.25">
      <c r="A10" t="s">
        <v>203</v>
      </c>
      <c r="B10" t="s">
        <v>202</v>
      </c>
      <c r="C10" t="s">
        <v>79</v>
      </c>
      <c r="D10" t="s">
        <v>201</v>
      </c>
    </row>
    <row r="11" spans="1:4" x14ac:dyDescent="0.25">
      <c r="A11">
        <v>150000</v>
      </c>
      <c r="B11">
        <v>0.11019</v>
      </c>
      <c r="C11">
        <f>$C$7+$C$8*A11</f>
        <v>0.11446507142857153</v>
      </c>
      <c r="D11">
        <f>B11-C11</f>
        <v>-4.2750714285715308E-3</v>
      </c>
    </row>
    <row r="12" spans="1:4" x14ac:dyDescent="0.25">
      <c r="A12">
        <v>300000</v>
      </c>
      <c r="B12">
        <v>0.21956000000000001</v>
      </c>
      <c r="C12">
        <f t="shared" ref="C12:C50" si="0">$C$7+$C$8*A12</f>
        <v>0.22278045864661664</v>
      </c>
      <c r="D12">
        <f t="shared" ref="D12:D50" si="1">B12-C12</f>
        <v>-3.2204586466166307E-3</v>
      </c>
    </row>
    <row r="13" spans="1:4" x14ac:dyDescent="0.25">
      <c r="A13">
        <v>450000</v>
      </c>
      <c r="B13">
        <v>0.32949000000000001</v>
      </c>
      <c r="C13">
        <f t="shared" si="0"/>
        <v>0.33109584586466173</v>
      </c>
      <c r="D13">
        <f t="shared" si="1"/>
        <v>-1.6058458646617257E-3</v>
      </c>
    </row>
    <row r="14" spans="1:4" x14ac:dyDescent="0.25">
      <c r="A14">
        <v>600000</v>
      </c>
      <c r="B14">
        <v>0.43898999999999999</v>
      </c>
      <c r="C14">
        <f t="shared" si="0"/>
        <v>0.43941123308270685</v>
      </c>
      <c r="D14">
        <f t="shared" si="1"/>
        <v>-4.2123308270686222E-4</v>
      </c>
    </row>
    <row r="15" spans="1:4" x14ac:dyDescent="0.25">
      <c r="A15">
        <v>750000</v>
      </c>
      <c r="B15">
        <v>0.54803000000000002</v>
      </c>
      <c r="C15">
        <f t="shared" si="0"/>
        <v>0.54772662030075203</v>
      </c>
      <c r="D15">
        <f t="shared" si="1"/>
        <v>3.0337969924798536E-4</v>
      </c>
    </row>
    <row r="16" spans="1:4" x14ac:dyDescent="0.25">
      <c r="A16">
        <v>900000</v>
      </c>
      <c r="B16">
        <v>0.65693999999999997</v>
      </c>
      <c r="C16">
        <f t="shared" si="0"/>
        <v>0.65604200751879704</v>
      </c>
      <c r="D16">
        <f t="shared" si="1"/>
        <v>8.9799248120292496E-4</v>
      </c>
    </row>
    <row r="17" spans="1:6" x14ac:dyDescent="0.25">
      <c r="A17">
        <v>1050000</v>
      </c>
      <c r="B17">
        <v>0.76561999999999997</v>
      </c>
      <c r="C17">
        <f t="shared" si="0"/>
        <v>0.76435739473684217</v>
      </c>
      <c r="D17">
        <f t="shared" si="1"/>
        <v>1.2626052631578011E-3</v>
      </c>
    </row>
    <row r="18" spans="1:6" x14ac:dyDescent="0.25">
      <c r="A18">
        <v>1200000</v>
      </c>
      <c r="B18">
        <v>0.87487000000000004</v>
      </c>
      <c r="C18">
        <f t="shared" si="0"/>
        <v>0.87267278195488729</v>
      </c>
      <c r="D18">
        <f t="shared" si="1"/>
        <v>2.1972180451127477E-3</v>
      </c>
    </row>
    <row r="19" spans="1:6" x14ac:dyDescent="0.25">
      <c r="A19">
        <v>1350000</v>
      </c>
      <c r="B19">
        <v>0.98292000000000002</v>
      </c>
      <c r="C19">
        <f t="shared" si="0"/>
        <v>0.98098816917293241</v>
      </c>
      <c r="D19">
        <f t="shared" si="1"/>
        <v>1.9318308270676043E-3</v>
      </c>
    </row>
    <row r="20" spans="1:6" x14ac:dyDescent="0.25">
      <c r="A20">
        <v>1500000</v>
      </c>
      <c r="B20">
        <v>1.0914600000000001</v>
      </c>
      <c r="C20">
        <f t="shared" si="0"/>
        <v>1.0893035563909776</v>
      </c>
      <c r="D20">
        <f t="shared" si="1"/>
        <v>2.1564436090224515E-3</v>
      </c>
    </row>
    <row r="21" spans="1:6" x14ac:dyDescent="0.25">
      <c r="A21">
        <v>1650000</v>
      </c>
      <c r="B21">
        <v>1.20001</v>
      </c>
      <c r="C21">
        <f t="shared" si="0"/>
        <v>1.1976189436090228</v>
      </c>
      <c r="D21">
        <f t="shared" si="1"/>
        <v>2.3910563909772531E-3</v>
      </c>
    </row>
    <row r="22" spans="1:6" x14ac:dyDescent="0.25">
      <c r="A22">
        <v>1800000</v>
      </c>
      <c r="B22">
        <v>1.3082199999999999</v>
      </c>
      <c r="C22">
        <f t="shared" si="0"/>
        <v>1.3059343308270677</v>
      </c>
      <c r="D22">
        <f t="shared" si="1"/>
        <v>2.2856691729322698E-3</v>
      </c>
      <c r="F22" t="s">
        <v>206</v>
      </c>
    </row>
    <row r="23" spans="1:6" x14ac:dyDescent="0.25">
      <c r="A23">
        <v>1950000</v>
      </c>
      <c r="B23">
        <v>1.4159900000000001</v>
      </c>
      <c r="C23">
        <f t="shared" si="0"/>
        <v>1.4142497180451128</v>
      </c>
      <c r="D23">
        <f t="shared" si="1"/>
        <v>1.7402819548872905E-3</v>
      </c>
      <c r="F23" s="10"/>
    </row>
    <row r="24" spans="1:6" x14ac:dyDescent="0.25">
      <c r="A24">
        <v>2100000</v>
      </c>
      <c r="B24">
        <v>1.52399</v>
      </c>
      <c r="C24">
        <f t="shared" si="0"/>
        <v>1.5225651052631579</v>
      </c>
      <c r="D24">
        <f t="shared" si="1"/>
        <v>1.4248947368420417E-3</v>
      </c>
    </row>
    <row r="25" spans="1:6" x14ac:dyDescent="0.25">
      <c r="A25">
        <v>2250000</v>
      </c>
      <c r="B25">
        <v>1.6319399999999999</v>
      </c>
      <c r="C25">
        <f t="shared" si="0"/>
        <v>1.630880492481203</v>
      </c>
      <c r="D25">
        <f t="shared" si="1"/>
        <v>1.0595075187969094E-3</v>
      </c>
    </row>
    <row r="26" spans="1:6" x14ac:dyDescent="0.25">
      <c r="A26">
        <v>2400000</v>
      </c>
      <c r="B26">
        <v>1.7394700000000001</v>
      </c>
      <c r="C26">
        <f t="shared" si="0"/>
        <v>1.7391958796992482</v>
      </c>
      <c r="D26">
        <f t="shared" si="1"/>
        <v>2.7412030075191218E-4</v>
      </c>
    </row>
    <row r="27" spans="1:6" x14ac:dyDescent="0.25">
      <c r="A27">
        <v>2550000</v>
      </c>
      <c r="B27">
        <v>1.84646</v>
      </c>
      <c r="C27">
        <f t="shared" si="0"/>
        <v>1.8475112669172933</v>
      </c>
      <c r="D27">
        <f t="shared" si="1"/>
        <v>-1.051266917293292E-3</v>
      </c>
    </row>
    <row r="28" spans="1:6" x14ac:dyDescent="0.25">
      <c r="A28">
        <v>2700000</v>
      </c>
      <c r="B28">
        <v>1.9539200000000001</v>
      </c>
      <c r="C28">
        <f t="shared" si="0"/>
        <v>1.9558266541353384</v>
      </c>
      <c r="D28">
        <f t="shared" si="1"/>
        <v>-1.9066541353383037E-3</v>
      </c>
    </row>
    <row r="29" spans="1:6" x14ac:dyDescent="0.25">
      <c r="A29">
        <v>2850000</v>
      </c>
      <c r="B29">
        <v>2.06128</v>
      </c>
      <c r="C29">
        <f t="shared" si="0"/>
        <v>2.0641420413533833</v>
      </c>
      <c r="D29">
        <f t="shared" si="1"/>
        <v>-2.8620413533833045E-3</v>
      </c>
    </row>
    <row r="30" spans="1:6" x14ac:dyDescent="0.25">
      <c r="A30">
        <v>3000000</v>
      </c>
      <c r="B30">
        <v>2.1684399999999999</v>
      </c>
      <c r="C30">
        <f t="shared" si="0"/>
        <v>2.1724574285714287</v>
      </c>
      <c r="D30">
        <f t="shared" si="1"/>
        <v>-4.0174285714287272E-3</v>
      </c>
    </row>
    <row r="31" spans="1:6" x14ac:dyDescent="0.25">
      <c r="A31">
        <v>150000</v>
      </c>
      <c r="B31">
        <v>0.11051999999999999</v>
      </c>
      <c r="C31">
        <f t="shared" si="0"/>
        <v>0.11446507142857153</v>
      </c>
      <c r="D31">
        <f t="shared" si="1"/>
        <v>-3.9450714285715338E-3</v>
      </c>
    </row>
    <row r="32" spans="1:6" x14ac:dyDescent="0.25">
      <c r="A32">
        <v>300000</v>
      </c>
      <c r="B32">
        <v>0.22017999999999999</v>
      </c>
      <c r="C32">
        <f t="shared" si="0"/>
        <v>0.22278045864661664</v>
      </c>
      <c r="D32">
        <f t="shared" si="1"/>
        <v>-2.600458646616649E-3</v>
      </c>
    </row>
    <row r="33" spans="1:4" x14ac:dyDescent="0.25">
      <c r="A33">
        <v>450000</v>
      </c>
      <c r="B33">
        <v>0.32939000000000002</v>
      </c>
      <c r="C33">
        <f t="shared" si="0"/>
        <v>0.33109584586466173</v>
      </c>
      <c r="D33">
        <f t="shared" si="1"/>
        <v>-1.7058458646617147E-3</v>
      </c>
    </row>
    <row r="34" spans="1:4" x14ac:dyDescent="0.25">
      <c r="A34">
        <v>600000</v>
      </c>
      <c r="B34">
        <v>0.43885999999999997</v>
      </c>
      <c r="C34">
        <f t="shared" si="0"/>
        <v>0.43941123308270685</v>
      </c>
      <c r="D34">
        <f t="shared" si="1"/>
        <v>-5.5123308270688121E-4</v>
      </c>
    </row>
    <row r="35" spans="1:4" x14ac:dyDescent="0.25">
      <c r="A35">
        <v>750000</v>
      </c>
      <c r="B35">
        <v>0.54798000000000002</v>
      </c>
      <c r="C35">
        <f t="shared" si="0"/>
        <v>0.54772662030075203</v>
      </c>
      <c r="D35">
        <f t="shared" si="1"/>
        <v>2.5337969924799086E-4</v>
      </c>
    </row>
    <row r="36" spans="1:4" x14ac:dyDescent="0.25">
      <c r="A36">
        <v>900000</v>
      </c>
      <c r="B36">
        <v>0.65739000000000003</v>
      </c>
      <c r="C36">
        <f t="shared" si="0"/>
        <v>0.65604200751879704</v>
      </c>
      <c r="D36">
        <f t="shared" si="1"/>
        <v>1.3479924812029864E-3</v>
      </c>
    </row>
    <row r="37" spans="1:4" x14ac:dyDescent="0.25">
      <c r="A37">
        <v>1050000</v>
      </c>
      <c r="B37">
        <v>0.76595999999999997</v>
      </c>
      <c r="C37">
        <f t="shared" si="0"/>
        <v>0.76435739473684217</v>
      </c>
      <c r="D37">
        <f t="shared" si="1"/>
        <v>1.602605263157808E-3</v>
      </c>
    </row>
    <row r="38" spans="1:4" x14ac:dyDescent="0.25">
      <c r="A38">
        <v>1200000</v>
      </c>
      <c r="B38">
        <v>0.87473999999999996</v>
      </c>
      <c r="C38">
        <f t="shared" si="0"/>
        <v>0.87267278195488729</v>
      </c>
      <c r="D38">
        <f t="shared" si="1"/>
        <v>2.0672180451126732E-3</v>
      </c>
    </row>
    <row r="39" spans="1:4" x14ac:dyDescent="0.25">
      <c r="A39">
        <v>1350000</v>
      </c>
      <c r="B39">
        <v>0.98299999999999998</v>
      </c>
      <c r="C39">
        <f t="shared" si="0"/>
        <v>0.98098816917293241</v>
      </c>
      <c r="D39">
        <f t="shared" si="1"/>
        <v>2.0118308270675733E-3</v>
      </c>
    </row>
    <row r="40" spans="1:4" x14ac:dyDescent="0.25">
      <c r="A40">
        <v>1500000</v>
      </c>
      <c r="B40">
        <v>1.0914999999999999</v>
      </c>
      <c r="C40">
        <f t="shared" si="0"/>
        <v>1.0893035563909776</v>
      </c>
      <c r="D40">
        <f t="shared" si="1"/>
        <v>2.1964436090222694E-3</v>
      </c>
    </row>
    <row r="41" spans="1:4" x14ac:dyDescent="0.25">
      <c r="A41">
        <v>1650000</v>
      </c>
      <c r="B41">
        <v>1.20004</v>
      </c>
      <c r="C41">
        <f t="shared" si="0"/>
        <v>1.1976189436090228</v>
      </c>
      <c r="D41">
        <f t="shared" si="1"/>
        <v>2.4210563909772276E-3</v>
      </c>
    </row>
    <row r="42" spans="1:4" x14ac:dyDescent="0.25">
      <c r="A42">
        <v>1800000</v>
      </c>
      <c r="B42">
        <v>1.3081799999999999</v>
      </c>
      <c r="C42">
        <f t="shared" si="0"/>
        <v>1.3059343308270677</v>
      </c>
      <c r="D42">
        <f t="shared" si="1"/>
        <v>2.2456691729322298E-3</v>
      </c>
    </row>
    <row r="43" spans="1:4" x14ac:dyDescent="0.25">
      <c r="A43">
        <v>1950000</v>
      </c>
      <c r="B43">
        <v>1.4161300000000001</v>
      </c>
      <c r="C43">
        <f t="shared" si="0"/>
        <v>1.4142497180451128</v>
      </c>
      <c r="D43">
        <f t="shared" si="1"/>
        <v>1.8802819548873195E-3</v>
      </c>
    </row>
    <row r="44" spans="1:4" x14ac:dyDescent="0.25">
      <c r="A44">
        <v>2100000</v>
      </c>
      <c r="B44">
        <v>1.5240800000000001</v>
      </c>
      <c r="C44">
        <f t="shared" si="0"/>
        <v>1.5225651052631579</v>
      </c>
      <c r="D44">
        <f t="shared" si="1"/>
        <v>1.5148947368421872E-3</v>
      </c>
    </row>
    <row r="45" spans="1:4" x14ac:dyDescent="0.25">
      <c r="A45">
        <v>2250000</v>
      </c>
      <c r="B45">
        <v>1.6315900000000001</v>
      </c>
      <c r="C45">
        <f t="shared" si="0"/>
        <v>1.630880492481203</v>
      </c>
      <c r="D45">
        <f t="shared" si="1"/>
        <v>7.0950751879705898E-4</v>
      </c>
    </row>
    <row r="46" spans="1:4" x14ac:dyDescent="0.25">
      <c r="A46">
        <v>2400000</v>
      </c>
      <c r="B46">
        <v>1.7396499999999999</v>
      </c>
      <c r="C46">
        <f t="shared" si="0"/>
        <v>1.7391958796992482</v>
      </c>
      <c r="D46">
        <f t="shared" si="1"/>
        <v>4.5412030075175913E-4</v>
      </c>
    </row>
    <row r="47" spans="1:4" x14ac:dyDescent="0.25">
      <c r="A47">
        <v>2550000</v>
      </c>
      <c r="B47">
        <v>1.8469599999999999</v>
      </c>
      <c r="C47">
        <f t="shared" si="0"/>
        <v>1.8475112669172933</v>
      </c>
      <c r="D47">
        <f t="shared" si="1"/>
        <v>-5.5126691729334709E-4</v>
      </c>
    </row>
    <row r="48" spans="1:4" x14ac:dyDescent="0.25">
      <c r="A48">
        <v>2700000</v>
      </c>
      <c r="B48">
        <v>1.95445</v>
      </c>
      <c r="C48">
        <f t="shared" si="0"/>
        <v>1.9558266541353384</v>
      </c>
      <c r="D48">
        <f t="shared" si="1"/>
        <v>-1.3766541353383843E-3</v>
      </c>
    </row>
    <row r="49" spans="1:4" x14ac:dyDescent="0.25">
      <c r="A49">
        <v>2850000</v>
      </c>
      <c r="B49">
        <v>2.0617700000000001</v>
      </c>
      <c r="C49">
        <f t="shared" si="0"/>
        <v>2.0641420413533833</v>
      </c>
      <c r="D49">
        <f t="shared" si="1"/>
        <v>-2.372041353383203E-3</v>
      </c>
    </row>
    <row r="50" spans="1:4" x14ac:dyDescent="0.25">
      <c r="A50">
        <v>3000000</v>
      </c>
      <c r="B50">
        <v>2.1682899999999998</v>
      </c>
      <c r="C50">
        <f t="shared" si="0"/>
        <v>2.1724574285714287</v>
      </c>
      <c r="D50">
        <f t="shared" si="1"/>
        <v>-4.1674285714288217E-3</v>
      </c>
    </row>
    <row r="52" spans="1:4" x14ac:dyDescent="0.25">
      <c r="A52" s="25" t="s">
        <v>204</v>
      </c>
    </row>
    <row r="53" spans="1:4" x14ac:dyDescent="0.25">
      <c r="A53" t="s">
        <v>205</v>
      </c>
    </row>
  </sheetData>
  <hyperlinks>
    <hyperlink ref="A52" r:id="rId1"/>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5"/>
  <sheetViews>
    <sheetView zoomScale="85" zoomScaleNormal="85" workbookViewId="0">
      <selection activeCell="B2" sqref="B2"/>
    </sheetView>
  </sheetViews>
  <sheetFormatPr defaultRowHeight="15" x14ac:dyDescent="0.25"/>
  <cols>
    <col min="2" max="2" width="11.7109375" customWidth="1"/>
    <col min="3" max="3" width="15.28515625" customWidth="1"/>
  </cols>
  <sheetData>
    <row r="1" spans="1:1" ht="18" thickBot="1" x14ac:dyDescent="0.35">
      <c r="A1" s="54" t="s">
        <v>583</v>
      </c>
    </row>
    <row r="2" spans="1:1" ht="15.75" thickTop="1" x14ac:dyDescent="0.25"/>
    <row r="3" spans="1:1" x14ac:dyDescent="0.25">
      <c r="A3" t="s">
        <v>584</v>
      </c>
    </row>
    <row r="4" spans="1:1" x14ac:dyDescent="0.25">
      <c r="A4" t="s">
        <v>585</v>
      </c>
    </row>
    <row r="5" spans="1:1" x14ac:dyDescent="0.25">
      <c r="A5" t="s">
        <v>586</v>
      </c>
    </row>
    <row r="6" spans="1:1" x14ac:dyDescent="0.25">
      <c r="A6" t="s">
        <v>587</v>
      </c>
    </row>
    <row r="7" spans="1:1" x14ac:dyDescent="0.25">
      <c r="A7" t="s">
        <v>588</v>
      </c>
    </row>
    <row r="9" spans="1:1" x14ac:dyDescent="0.25">
      <c r="A9" t="s">
        <v>589</v>
      </c>
    </row>
    <row r="10" spans="1:1" x14ac:dyDescent="0.25">
      <c r="A10" t="s">
        <v>590</v>
      </c>
    </row>
    <row r="11" spans="1:1" x14ac:dyDescent="0.25">
      <c r="A11" t="s">
        <v>591</v>
      </c>
    </row>
    <row r="12" spans="1:1" x14ac:dyDescent="0.25">
      <c r="A12" t="s">
        <v>594</v>
      </c>
    </row>
    <row r="13" spans="1:1" x14ac:dyDescent="0.25">
      <c r="A13" t="s">
        <v>595</v>
      </c>
    </row>
    <row r="15" spans="1:1" x14ac:dyDescent="0.25">
      <c r="A15" t="s">
        <v>596</v>
      </c>
    </row>
    <row r="16" spans="1:1" x14ac:dyDescent="0.25">
      <c r="A16" t="s">
        <v>597</v>
      </c>
    </row>
    <row r="17" spans="1:5" x14ac:dyDescent="0.25">
      <c r="A17" t="s">
        <v>598</v>
      </c>
    </row>
    <row r="18" spans="1:5" x14ac:dyDescent="0.25">
      <c r="A18" t="s">
        <v>599</v>
      </c>
    </row>
    <row r="20" spans="1:5" x14ac:dyDescent="0.25">
      <c r="A20" t="s">
        <v>249</v>
      </c>
    </row>
    <row r="21" spans="1:5" x14ac:dyDescent="0.25">
      <c r="A21" t="s">
        <v>250</v>
      </c>
    </row>
    <row r="22" spans="1:5" x14ac:dyDescent="0.25">
      <c r="B22" t="s">
        <v>302</v>
      </c>
    </row>
    <row r="23" spans="1:5" x14ac:dyDescent="0.25">
      <c r="A23" t="s">
        <v>251</v>
      </c>
    </row>
    <row r="24" spans="1:5" x14ac:dyDescent="0.25">
      <c r="A24" t="s">
        <v>252</v>
      </c>
    </row>
    <row r="25" spans="1:5" x14ac:dyDescent="0.25">
      <c r="A25" s="58"/>
      <c r="B25" s="58"/>
      <c r="C25" s="58" t="s">
        <v>56</v>
      </c>
    </row>
    <row r="26" spans="1:5" x14ac:dyDescent="0.25">
      <c r="A26" s="58"/>
      <c r="B26" s="58"/>
      <c r="C26" s="58">
        <v>0.3</v>
      </c>
      <c r="E26" t="s">
        <v>600</v>
      </c>
    </row>
    <row r="27" spans="1:5" x14ac:dyDescent="0.25">
      <c r="A27" s="58"/>
      <c r="B27" s="58"/>
      <c r="C27" s="58"/>
      <c r="E27" t="s">
        <v>603</v>
      </c>
    </row>
    <row r="28" spans="1:5" x14ac:dyDescent="0.25">
      <c r="A28" s="58"/>
      <c r="B28" s="59" t="s">
        <v>534</v>
      </c>
      <c r="C28" s="58">
        <v>2</v>
      </c>
      <c r="E28" t="s">
        <v>604</v>
      </c>
    </row>
    <row r="29" spans="1:5" x14ac:dyDescent="0.25">
      <c r="A29" s="58"/>
      <c r="B29" s="59" t="s">
        <v>535</v>
      </c>
      <c r="C29" s="58">
        <v>0.01</v>
      </c>
    </row>
    <row r="35" spans="1:32" x14ac:dyDescent="0.25">
      <c r="C35" t="s">
        <v>209</v>
      </c>
    </row>
    <row r="36" spans="1:32" x14ac:dyDescent="0.25">
      <c r="A36" t="s">
        <v>45</v>
      </c>
      <c r="B36" t="s">
        <v>55</v>
      </c>
      <c r="C36" t="s">
        <v>210</v>
      </c>
      <c r="D36" t="s">
        <v>211</v>
      </c>
      <c r="E36" t="s">
        <v>212</v>
      </c>
      <c r="F36" t="s">
        <v>213</v>
      </c>
      <c r="G36" t="s">
        <v>214</v>
      </c>
      <c r="H36" t="s">
        <v>215</v>
      </c>
      <c r="I36" t="s">
        <v>216</v>
      </c>
      <c r="J36" t="s">
        <v>217</v>
      </c>
      <c r="K36" t="s">
        <v>218</v>
      </c>
      <c r="L36" t="s">
        <v>219</v>
      </c>
      <c r="M36" t="s">
        <v>220</v>
      </c>
      <c r="N36" t="s">
        <v>221</v>
      </c>
      <c r="O36" t="s">
        <v>222</v>
      </c>
      <c r="P36" t="s">
        <v>223</v>
      </c>
      <c r="Q36" t="s">
        <v>224</v>
      </c>
      <c r="R36" t="s">
        <v>225</v>
      </c>
      <c r="S36" t="s">
        <v>226</v>
      </c>
      <c r="T36" t="s">
        <v>227</v>
      </c>
      <c r="U36" t="s">
        <v>228</v>
      </c>
      <c r="V36" t="s">
        <v>229</v>
      </c>
      <c r="W36" t="s">
        <v>230</v>
      </c>
      <c r="X36" t="s">
        <v>231</v>
      </c>
      <c r="Y36" t="s">
        <v>232</v>
      </c>
      <c r="Z36" t="s">
        <v>233</v>
      </c>
      <c r="AA36" t="s">
        <v>234</v>
      </c>
      <c r="AB36" t="s">
        <v>235</v>
      </c>
      <c r="AC36" t="s">
        <v>236</v>
      </c>
      <c r="AD36" t="s">
        <v>237</v>
      </c>
      <c r="AE36" t="s">
        <v>238</v>
      </c>
      <c r="AF36" t="s">
        <v>239</v>
      </c>
    </row>
    <row r="37" spans="1:32" x14ac:dyDescent="0.25">
      <c r="A37">
        <v>1</v>
      </c>
      <c r="B37">
        <v>20</v>
      </c>
      <c r="C37">
        <f t="shared" ref="C37:L48" ca="1" si="0">$C$28+$C$29*$B37 + NORMINV(RAND(),0,1)*$C$26</f>
        <v>2.2553549009675939</v>
      </c>
      <c r="D37">
        <f t="shared" ca="1" si="0"/>
        <v>1.7812951506923591</v>
      </c>
      <c r="E37">
        <f t="shared" ca="1" si="0"/>
        <v>2.4956924532771598</v>
      </c>
      <c r="F37">
        <f t="shared" ca="1" si="0"/>
        <v>2.3042854203112775</v>
      </c>
      <c r="G37">
        <f t="shared" ca="1" si="0"/>
        <v>2.6588649977195047</v>
      </c>
      <c r="H37">
        <f t="shared" ca="1" si="0"/>
        <v>2.2689539688940741</v>
      </c>
      <c r="I37">
        <f t="shared" ca="1" si="0"/>
        <v>2.9034234177482188</v>
      </c>
      <c r="J37">
        <f t="shared" ca="1" si="0"/>
        <v>2.4165622380181011</v>
      </c>
      <c r="K37">
        <f t="shared" ca="1" si="0"/>
        <v>1.8661378790883965</v>
      </c>
      <c r="L37">
        <f t="shared" ca="1" si="0"/>
        <v>2.040206580352208</v>
      </c>
      <c r="M37">
        <f t="shared" ref="M37:V48" ca="1" si="1">$C$28+$C$29*$B37 + NORMINV(RAND(),0,1)*$C$26</f>
        <v>2.4902983500283131</v>
      </c>
      <c r="N37">
        <f t="shared" ca="1" si="1"/>
        <v>1.9687631532868419</v>
      </c>
      <c r="O37">
        <f t="shared" ca="1" si="1"/>
        <v>2.1755390707845885</v>
      </c>
      <c r="P37">
        <f t="shared" ca="1" si="1"/>
        <v>2.0987762052570762</v>
      </c>
      <c r="Q37">
        <f t="shared" ca="1" si="1"/>
        <v>2.370261220588707</v>
      </c>
      <c r="R37">
        <f t="shared" ca="1" si="1"/>
        <v>2.6824103903154137</v>
      </c>
      <c r="S37">
        <f t="shared" ca="1" si="1"/>
        <v>2.6649924503210554</v>
      </c>
      <c r="T37">
        <f t="shared" ca="1" si="1"/>
        <v>1.9922755691810521</v>
      </c>
      <c r="U37">
        <f t="shared" ca="1" si="1"/>
        <v>2.3377083127185032</v>
      </c>
      <c r="V37">
        <f t="shared" ca="1" si="1"/>
        <v>2.2299378201720685</v>
      </c>
      <c r="W37">
        <f t="shared" ref="W37:AF48" ca="1" si="2">$C$28+$C$29*$B37 + NORMINV(RAND(),0,1)*$C$26</f>
        <v>2.1936208545605513</v>
      </c>
      <c r="X37">
        <f t="shared" ca="1" si="2"/>
        <v>2.1754518925731019</v>
      </c>
      <c r="Y37">
        <f t="shared" ca="1" si="2"/>
        <v>2.7343983970756534</v>
      </c>
      <c r="Z37">
        <f t="shared" ca="1" si="2"/>
        <v>2.0216431234938912</v>
      </c>
      <c r="AA37">
        <f t="shared" ca="1" si="2"/>
        <v>2.0014609390023308</v>
      </c>
      <c r="AB37">
        <f t="shared" ca="1" si="2"/>
        <v>2.2921734857775364</v>
      </c>
      <c r="AC37">
        <f t="shared" ca="1" si="2"/>
        <v>2.1176695554192997</v>
      </c>
      <c r="AD37">
        <f t="shared" ca="1" si="2"/>
        <v>1.8565829821125601</v>
      </c>
      <c r="AE37">
        <f t="shared" ca="1" si="2"/>
        <v>1.9570244198410238</v>
      </c>
      <c r="AF37">
        <f t="shared" ca="1" si="2"/>
        <v>1.8526477374719956</v>
      </c>
    </row>
    <row r="38" spans="1:32" x14ac:dyDescent="0.25">
      <c r="A38">
        <v>2</v>
      </c>
      <c r="B38">
        <v>20</v>
      </c>
      <c r="C38">
        <f t="shared" ca="1" si="0"/>
        <v>2.2571498236283705</v>
      </c>
      <c r="D38">
        <f t="shared" ca="1" si="0"/>
        <v>1.9647014634519377</v>
      </c>
      <c r="E38">
        <f t="shared" ca="1" si="0"/>
        <v>2.2875751905262787</v>
      </c>
      <c r="F38">
        <f t="shared" ca="1" si="0"/>
        <v>1.768259279695557</v>
      </c>
      <c r="G38">
        <f t="shared" ca="1" si="0"/>
        <v>2.3845840782061747</v>
      </c>
      <c r="H38">
        <f t="shared" ca="1" si="0"/>
        <v>2.5428957266792032</v>
      </c>
      <c r="I38">
        <f t="shared" ca="1" si="0"/>
        <v>2.2570722100517853</v>
      </c>
      <c r="J38">
        <f t="shared" ca="1" si="0"/>
        <v>2.7254195530584564</v>
      </c>
      <c r="K38">
        <f t="shared" ca="1" si="0"/>
        <v>2.2050404474546585</v>
      </c>
      <c r="L38">
        <f t="shared" ca="1" si="0"/>
        <v>2.6055640530631501</v>
      </c>
      <c r="M38">
        <f t="shared" ca="1" si="1"/>
        <v>2.4730912737894801</v>
      </c>
      <c r="N38">
        <f t="shared" ca="1" si="1"/>
        <v>1.9800371714800808</v>
      </c>
      <c r="O38">
        <f t="shared" ca="1" si="1"/>
        <v>2.6291885566062554</v>
      </c>
      <c r="P38">
        <f t="shared" ca="1" si="1"/>
        <v>2.2477490199962253</v>
      </c>
      <c r="Q38">
        <f t="shared" ca="1" si="1"/>
        <v>2.5205729302243585</v>
      </c>
      <c r="R38">
        <f t="shared" ca="1" si="1"/>
        <v>2.2434621139285129</v>
      </c>
      <c r="S38">
        <f t="shared" ca="1" si="1"/>
        <v>2.0410731161197111</v>
      </c>
      <c r="T38">
        <f t="shared" ca="1" si="1"/>
        <v>2.360331953297683</v>
      </c>
      <c r="U38">
        <f t="shared" ca="1" si="1"/>
        <v>2.29730652767826</v>
      </c>
      <c r="V38">
        <f t="shared" ca="1" si="1"/>
        <v>2.4403039220483973</v>
      </c>
      <c r="W38">
        <f t="shared" ca="1" si="2"/>
        <v>1.9494499001279499</v>
      </c>
      <c r="X38">
        <f t="shared" ca="1" si="2"/>
        <v>2.2817262075408857</v>
      </c>
      <c r="Y38">
        <f t="shared" ca="1" si="2"/>
        <v>2.4178395404535529</v>
      </c>
      <c r="Z38">
        <f t="shared" ca="1" si="2"/>
        <v>2.8593703819067691</v>
      </c>
      <c r="AA38">
        <f t="shared" ca="1" si="2"/>
        <v>2.222045401909948</v>
      </c>
      <c r="AB38">
        <f t="shared" ca="1" si="2"/>
        <v>2.0568315985033299</v>
      </c>
      <c r="AC38">
        <f t="shared" ca="1" si="2"/>
        <v>2.4071906009960857</v>
      </c>
      <c r="AD38">
        <f t="shared" ca="1" si="2"/>
        <v>2.4230095650850232</v>
      </c>
      <c r="AE38">
        <f t="shared" ca="1" si="2"/>
        <v>2.1597056251965436</v>
      </c>
      <c r="AF38">
        <f t="shared" ca="1" si="2"/>
        <v>2.5020872802292615</v>
      </c>
    </row>
    <row r="39" spans="1:32" x14ac:dyDescent="0.25">
      <c r="A39">
        <v>3</v>
      </c>
      <c r="B39">
        <v>20</v>
      </c>
      <c r="C39">
        <f t="shared" ca="1" si="0"/>
        <v>2.5818219823546507</v>
      </c>
      <c r="D39">
        <f t="shared" ca="1" si="0"/>
        <v>2.4350516923146968</v>
      </c>
      <c r="E39">
        <f t="shared" ca="1" si="0"/>
        <v>1.8945554001052998</v>
      </c>
      <c r="F39">
        <f t="shared" ca="1" si="0"/>
        <v>2.6358263010485494</v>
      </c>
      <c r="G39">
        <f t="shared" ca="1" si="0"/>
        <v>1.8705591216075077</v>
      </c>
      <c r="H39">
        <f t="shared" ca="1" si="0"/>
        <v>2.7657163703604968</v>
      </c>
      <c r="I39">
        <f t="shared" ca="1" si="0"/>
        <v>2.2935417059415149</v>
      </c>
      <c r="J39">
        <f t="shared" ca="1" si="0"/>
        <v>2.2907918379487517</v>
      </c>
      <c r="K39">
        <f t="shared" ca="1" si="0"/>
        <v>2.4330575361954989</v>
      </c>
      <c r="L39">
        <f t="shared" ca="1" si="0"/>
        <v>1.8706503377271297</v>
      </c>
      <c r="M39">
        <f t="shared" ca="1" si="1"/>
        <v>2.2541468904900581</v>
      </c>
      <c r="N39">
        <f t="shared" ca="1" si="1"/>
        <v>2.0753955059225411</v>
      </c>
      <c r="O39">
        <f t="shared" ca="1" si="1"/>
        <v>2.1762909053424928</v>
      </c>
      <c r="P39">
        <f t="shared" ca="1" si="1"/>
        <v>2.0434861273778036</v>
      </c>
      <c r="Q39">
        <f t="shared" ca="1" si="1"/>
        <v>2.2177632572314248</v>
      </c>
      <c r="R39">
        <f t="shared" ca="1" si="1"/>
        <v>1.9476030223644953</v>
      </c>
      <c r="S39">
        <f t="shared" ca="1" si="1"/>
        <v>1.8565684820115109</v>
      </c>
      <c r="T39">
        <f t="shared" ca="1" si="1"/>
        <v>1.7234705222545801</v>
      </c>
      <c r="U39">
        <f t="shared" ca="1" si="1"/>
        <v>2.1569065146677704</v>
      </c>
      <c r="V39">
        <f t="shared" ca="1" si="1"/>
        <v>2.5885269115334539</v>
      </c>
      <c r="W39">
        <f t="shared" ca="1" si="2"/>
        <v>2.504931076446951</v>
      </c>
      <c r="X39">
        <f t="shared" ca="1" si="2"/>
        <v>2.3675176443904844</v>
      </c>
      <c r="Y39">
        <f t="shared" ca="1" si="2"/>
        <v>2.4772872234089109</v>
      </c>
      <c r="Z39">
        <f t="shared" ca="1" si="2"/>
        <v>2.0273048741949218</v>
      </c>
      <c r="AA39">
        <f t="shared" ca="1" si="2"/>
        <v>1.971579489570868</v>
      </c>
      <c r="AB39">
        <f t="shared" ca="1" si="2"/>
        <v>1.626580015627602</v>
      </c>
      <c r="AC39">
        <f t="shared" ca="1" si="2"/>
        <v>2.4161787947865894</v>
      </c>
      <c r="AD39">
        <f t="shared" ca="1" si="2"/>
        <v>1.8224185398993615</v>
      </c>
      <c r="AE39">
        <f t="shared" ca="1" si="2"/>
        <v>2.2762687093445781</v>
      </c>
      <c r="AF39">
        <f t="shared" ca="1" si="2"/>
        <v>1.4534966726643939</v>
      </c>
    </row>
    <row r="40" spans="1:32" x14ac:dyDescent="0.25">
      <c r="A40">
        <v>4</v>
      </c>
      <c r="B40">
        <v>40</v>
      </c>
      <c r="C40">
        <f t="shared" ca="1" si="0"/>
        <v>2.5052562811909826</v>
      </c>
      <c r="D40">
        <f t="shared" ca="1" si="0"/>
        <v>2.9260276800045504</v>
      </c>
      <c r="E40">
        <f t="shared" ca="1" si="0"/>
        <v>1.9011523214415731</v>
      </c>
      <c r="F40">
        <f t="shared" ca="1" si="0"/>
        <v>2.186517497034759</v>
      </c>
      <c r="G40">
        <f t="shared" ca="1" si="0"/>
        <v>1.6227111165316797</v>
      </c>
      <c r="H40">
        <f t="shared" ca="1" si="0"/>
        <v>2.1826446996197406</v>
      </c>
      <c r="I40">
        <f t="shared" ca="1" si="0"/>
        <v>2.160542279091382</v>
      </c>
      <c r="J40">
        <f t="shared" ca="1" si="0"/>
        <v>3.182741631672092</v>
      </c>
      <c r="K40">
        <f t="shared" ca="1" si="0"/>
        <v>2.4286570407656431</v>
      </c>
      <c r="L40">
        <f t="shared" ca="1" si="0"/>
        <v>2.4742552512992133</v>
      </c>
      <c r="M40">
        <f t="shared" ca="1" si="1"/>
        <v>2.4440122432542482</v>
      </c>
      <c r="N40">
        <f t="shared" ca="1" si="1"/>
        <v>2.324805243479712</v>
      </c>
      <c r="O40">
        <f t="shared" ca="1" si="1"/>
        <v>2.2905298973861474</v>
      </c>
      <c r="P40">
        <f t="shared" ca="1" si="1"/>
        <v>2.8132092619521103</v>
      </c>
      <c r="Q40">
        <f t="shared" ca="1" si="1"/>
        <v>2.091296229479723</v>
      </c>
      <c r="R40">
        <f t="shared" ca="1" si="1"/>
        <v>2.4023966288774972</v>
      </c>
      <c r="S40">
        <f t="shared" ca="1" si="1"/>
        <v>2.420164035419011</v>
      </c>
      <c r="T40">
        <f t="shared" ca="1" si="1"/>
        <v>2.645980344867263</v>
      </c>
      <c r="U40">
        <f t="shared" ca="1" si="1"/>
        <v>2.7976455363649655</v>
      </c>
      <c r="V40">
        <f t="shared" ca="1" si="1"/>
        <v>1.9756402362419323</v>
      </c>
      <c r="W40">
        <f t="shared" ca="1" si="2"/>
        <v>2.439750254364315</v>
      </c>
      <c r="X40">
        <f t="shared" ca="1" si="2"/>
        <v>2.5385193257957352</v>
      </c>
      <c r="Y40">
        <f t="shared" ca="1" si="2"/>
        <v>2.1418264127480571</v>
      </c>
      <c r="Z40">
        <f t="shared" ca="1" si="2"/>
        <v>2.9412875888138696</v>
      </c>
      <c r="AA40">
        <f t="shared" ca="1" si="2"/>
        <v>2.3767122882063023</v>
      </c>
      <c r="AB40">
        <f t="shared" ca="1" si="2"/>
        <v>2.7380742256686625</v>
      </c>
      <c r="AC40">
        <f t="shared" ca="1" si="2"/>
        <v>1.9667561441568659</v>
      </c>
      <c r="AD40">
        <f t="shared" ca="1" si="2"/>
        <v>2.482376248437093</v>
      </c>
      <c r="AE40">
        <f t="shared" ca="1" si="2"/>
        <v>2.2774913219117749</v>
      </c>
      <c r="AF40">
        <f t="shared" ca="1" si="2"/>
        <v>1.9968139097749154</v>
      </c>
    </row>
    <row r="41" spans="1:32" x14ac:dyDescent="0.25">
      <c r="A41">
        <v>5</v>
      </c>
      <c r="B41">
        <v>40</v>
      </c>
      <c r="C41">
        <f t="shared" ca="1" si="0"/>
        <v>3.3244233061155866</v>
      </c>
      <c r="D41">
        <f t="shared" ca="1" si="0"/>
        <v>1.9099871594982201</v>
      </c>
      <c r="E41">
        <f t="shared" ca="1" si="0"/>
        <v>2.6609760102098541</v>
      </c>
      <c r="F41">
        <f t="shared" ca="1" si="0"/>
        <v>2.1797737356435509</v>
      </c>
      <c r="G41">
        <f t="shared" ca="1" si="0"/>
        <v>3.2318892758719882</v>
      </c>
      <c r="H41">
        <f t="shared" ca="1" si="0"/>
        <v>1.9267166549935844</v>
      </c>
      <c r="I41">
        <f t="shared" ca="1" si="0"/>
        <v>1.9967659493803032</v>
      </c>
      <c r="J41">
        <f t="shared" ca="1" si="0"/>
        <v>1.8089439806111021</v>
      </c>
      <c r="K41">
        <f t="shared" ca="1" si="0"/>
        <v>2.5708348644504389</v>
      </c>
      <c r="L41">
        <f t="shared" ca="1" si="0"/>
        <v>2.8434413218013774</v>
      </c>
      <c r="M41">
        <f t="shared" ca="1" si="1"/>
        <v>2.3391400441970891</v>
      </c>
      <c r="N41">
        <f t="shared" ca="1" si="1"/>
        <v>2.2558547104257238</v>
      </c>
      <c r="O41">
        <f t="shared" ca="1" si="1"/>
        <v>2.8087374907785638</v>
      </c>
      <c r="P41">
        <f t="shared" ca="1" si="1"/>
        <v>1.974346153669404</v>
      </c>
      <c r="Q41">
        <f t="shared" ca="1" si="1"/>
        <v>1.903741137275361</v>
      </c>
      <c r="R41">
        <f t="shared" ca="1" si="1"/>
        <v>2.5979941075972603</v>
      </c>
      <c r="S41">
        <f t="shared" ca="1" si="1"/>
        <v>1.7664889358640807</v>
      </c>
      <c r="T41">
        <f t="shared" ca="1" si="1"/>
        <v>2.7666977172547638</v>
      </c>
      <c r="U41">
        <f t="shared" ca="1" si="1"/>
        <v>2.5019537373597607</v>
      </c>
      <c r="V41">
        <f t="shared" ca="1" si="1"/>
        <v>2.7138762686623359</v>
      </c>
      <c r="W41">
        <f t="shared" ca="1" si="2"/>
        <v>2.3014576449824848</v>
      </c>
      <c r="X41">
        <f t="shared" ca="1" si="2"/>
        <v>2.3549684202195613</v>
      </c>
      <c r="Y41">
        <f t="shared" ca="1" si="2"/>
        <v>2.7803132881713322</v>
      </c>
      <c r="Z41">
        <f t="shared" ca="1" si="2"/>
        <v>2.5507372511253497</v>
      </c>
      <c r="AA41">
        <f t="shared" ca="1" si="2"/>
        <v>2.1089753622254443</v>
      </c>
      <c r="AB41">
        <f t="shared" ca="1" si="2"/>
        <v>2.0497584157800417</v>
      </c>
      <c r="AC41">
        <f t="shared" ca="1" si="2"/>
        <v>2.5470996133904489</v>
      </c>
      <c r="AD41">
        <f t="shared" ca="1" si="2"/>
        <v>2.895185862486227</v>
      </c>
      <c r="AE41">
        <f t="shared" ca="1" si="2"/>
        <v>2.7230732312570964</v>
      </c>
      <c r="AF41">
        <f t="shared" ca="1" si="2"/>
        <v>2.2286117118556628</v>
      </c>
    </row>
    <row r="42" spans="1:32" x14ac:dyDescent="0.25">
      <c r="A42">
        <v>6</v>
      </c>
      <c r="B42">
        <v>40</v>
      </c>
      <c r="C42">
        <f t="shared" ca="1" si="0"/>
        <v>2.5096988307085879</v>
      </c>
      <c r="D42">
        <f t="shared" ca="1" si="0"/>
        <v>2.5295018535753822</v>
      </c>
      <c r="E42">
        <f t="shared" ca="1" si="0"/>
        <v>2.2254636877130274</v>
      </c>
      <c r="F42">
        <f t="shared" ca="1" si="0"/>
        <v>2.4741745475466099</v>
      </c>
      <c r="G42">
        <f t="shared" ca="1" si="0"/>
        <v>2.7563459326199715</v>
      </c>
      <c r="H42">
        <f t="shared" ca="1" si="0"/>
        <v>2.5872768040224874</v>
      </c>
      <c r="I42">
        <f t="shared" ca="1" si="0"/>
        <v>2.0083752841631286</v>
      </c>
      <c r="J42">
        <f t="shared" ca="1" si="0"/>
        <v>2.5075711992033844</v>
      </c>
      <c r="K42">
        <f t="shared" ca="1" si="0"/>
        <v>2.3601713733010206</v>
      </c>
      <c r="L42">
        <f t="shared" ca="1" si="0"/>
        <v>2.2268555554388674</v>
      </c>
      <c r="M42">
        <f t="shared" ca="1" si="1"/>
        <v>2.3210418326081972</v>
      </c>
      <c r="N42">
        <f t="shared" ca="1" si="1"/>
        <v>3.1010306101893867</v>
      </c>
      <c r="O42">
        <f t="shared" ca="1" si="1"/>
        <v>2.4405690145493155</v>
      </c>
      <c r="P42">
        <f t="shared" ca="1" si="1"/>
        <v>1.5868441458161286</v>
      </c>
      <c r="Q42">
        <f t="shared" ca="1" si="1"/>
        <v>2.2811331092620741</v>
      </c>
      <c r="R42">
        <f t="shared" ca="1" si="1"/>
        <v>2.2513570490002319</v>
      </c>
      <c r="S42">
        <f t="shared" ca="1" si="1"/>
        <v>2.104445956747738</v>
      </c>
      <c r="T42">
        <f t="shared" ca="1" si="1"/>
        <v>2.2692372850710898</v>
      </c>
      <c r="U42">
        <f t="shared" ca="1" si="1"/>
        <v>2.6390361555126742</v>
      </c>
      <c r="V42">
        <f t="shared" ca="1" si="1"/>
        <v>2.7272198273482031</v>
      </c>
      <c r="W42">
        <f t="shared" ca="1" si="2"/>
        <v>2.9625009907436084</v>
      </c>
      <c r="X42">
        <f t="shared" ca="1" si="2"/>
        <v>2.9239212462123834</v>
      </c>
      <c r="Y42">
        <f t="shared" ca="1" si="2"/>
        <v>2.4349516412168803</v>
      </c>
      <c r="Z42">
        <f t="shared" ca="1" si="2"/>
        <v>2.4708272172635102</v>
      </c>
      <c r="AA42">
        <f t="shared" ca="1" si="2"/>
        <v>1.9813148330836592</v>
      </c>
      <c r="AB42">
        <f t="shared" ca="1" si="2"/>
        <v>2.3486896195938036</v>
      </c>
      <c r="AC42">
        <f t="shared" ca="1" si="2"/>
        <v>2.077492176381039</v>
      </c>
      <c r="AD42">
        <f t="shared" ca="1" si="2"/>
        <v>2.0413470933479991</v>
      </c>
      <c r="AE42">
        <f t="shared" ca="1" si="2"/>
        <v>2.4876034888416596</v>
      </c>
      <c r="AF42">
        <f t="shared" ca="1" si="2"/>
        <v>2.601643135415403</v>
      </c>
    </row>
    <row r="43" spans="1:32" x14ac:dyDescent="0.25">
      <c r="A43">
        <v>7</v>
      </c>
      <c r="B43">
        <v>60</v>
      </c>
      <c r="C43">
        <f t="shared" ca="1" si="0"/>
        <v>2.7276582010157084</v>
      </c>
      <c r="D43">
        <f t="shared" ca="1" si="0"/>
        <v>2.7963797859163599</v>
      </c>
      <c r="E43">
        <f t="shared" ca="1" si="0"/>
        <v>2.184426959157979</v>
      </c>
      <c r="F43">
        <f t="shared" ca="1" si="0"/>
        <v>2.564671083430957</v>
      </c>
      <c r="G43">
        <f t="shared" ca="1" si="0"/>
        <v>2.7809355906455675</v>
      </c>
      <c r="H43">
        <f t="shared" ca="1" si="0"/>
        <v>2.4336788012187158</v>
      </c>
      <c r="I43">
        <f t="shared" ca="1" si="0"/>
        <v>2.9565245648119602</v>
      </c>
      <c r="J43">
        <f t="shared" ca="1" si="0"/>
        <v>2.6731488785603652</v>
      </c>
      <c r="K43">
        <f t="shared" ca="1" si="0"/>
        <v>3.0913560852481479</v>
      </c>
      <c r="L43">
        <f t="shared" ca="1" si="0"/>
        <v>2.5691837143999581</v>
      </c>
      <c r="M43">
        <f t="shared" ca="1" si="1"/>
        <v>2.291081047129615</v>
      </c>
      <c r="N43">
        <f t="shared" ca="1" si="1"/>
        <v>2.3782451716204815</v>
      </c>
      <c r="O43">
        <f t="shared" ca="1" si="1"/>
        <v>2.7765907774053167</v>
      </c>
      <c r="P43">
        <f t="shared" ca="1" si="1"/>
        <v>3.179753428692353</v>
      </c>
      <c r="Q43">
        <f t="shared" ca="1" si="1"/>
        <v>2.9239325417594255</v>
      </c>
      <c r="R43">
        <f t="shared" ca="1" si="1"/>
        <v>2.4614276723858834</v>
      </c>
      <c r="S43">
        <f t="shared" ca="1" si="1"/>
        <v>2.4872725730254786</v>
      </c>
      <c r="T43">
        <f t="shared" ca="1" si="1"/>
        <v>2.7574739439409361</v>
      </c>
      <c r="U43">
        <f t="shared" ca="1" si="1"/>
        <v>2.9200319152059153</v>
      </c>
      <c r="V43">
        <f t="shared" ca="1" si="1"/>
        <v>2.9215573635710261</v>
      </c>
      <c r="W43">
        <f t="shared" ca="1" si="2"/>
        <v>2.9766596196027586</v>
      </c>
      <c r="X43">
        <f t="shared" ca="1" si="2"/>
        <v>2.6038506425382102</v>
      </c>
      <c r="Y43">
        <f t="shared" ca="1" si="2"/>
        <v>3.4462704384454765</v>
      </c>
      <c r="Z43">
        <f t="shared" ca="1" si="2"/>
        <v>2.5455754716140295</v>
      </c>
      <c r="AA43">
        <f t="shared" ca="1" si="2"/>
        <v>2.3044045663394277</v>
      </c>
      <c r="AB43">
        <f t="shared" ca="1" si="2"/>
        <v>2.4114997235213966</v>
      </c>
      <c r="AC43">
        <f t="shared" ca="1" si="2"/>
        <v>2.3162791720907236</v>
      </c>
      <c r="AD43">
        <f t="shared" ca="1" si="2"/>
        <v>2.9845700550880538</v>
      </c>
      <c r="AE43">
        <f t="shared" ca="1" si="2"/>
        <v>2.5895219601193729</v>
      </c>
      <c r="AF43">
        <f t="shared" ca="1" si="2"/>
        <v>2.4050510979865116</v>
      </c>
    </row>
    <row r="44" spans="1:32" x14ac:dyDescent="0.25">
      <c r="A44">
        <v>8</v>
      </c>
      <c r="B44">
        <v>60</v>
      </c>
      <c r="C44">
        <f t="shared" ca="1" si="0"/>
        <v>2.8389246601459259</v>
      </c>
      <c r="D44">
        <f t="shared" ca="1" si="0"/>
        <v>2.4087586048022862</v>
      </c>
      <c r="E44">
        <f t="shared" ca="1" si="0"/>
        <v>2.6836046215084437</v>
      </c>
      <c r="F44">
        <f t="shared" ca="1" si="0"/>
        <v>2.4005688119942641</v>
      </c>
      <c r="G44">
        <f t="shared" ca="1" si="0"/>
        <v>3.0092398348018001</v>
      </c>
      <c r="H44">
        <f t="shared" ca="1" si="0"/>
        <v>2.7384797052116352</v>
      </c>
      <c r="I44">
        <f t="shared" ca="1" si="0"/>
        <v>2.5250088345523349</v>
      </c>
      <c r="J44">
        <f t="shared" ca="1" si="0"/>
        <v>2.9026926871878111</v>
      </c>
      <c r="K44">
        <f t="shared" ca="1" si="0"/>
        <v>2.4023567008449827</v>
      </c>
      <c r="L44">
        <f t="shared" ca="1" si="0"/>
        <v>2.8001315578191486</v>
      </c>
      <c r="M44">
        <f t="shared" ca="1" si="1"/>
        <v>2.5988897601518426</v>
      </c>
      <c r="N44">
        <f t="shared" ca="1" si="1"/>
        <v>2.5283446826841107</v>
      </c>
      <c r="O44">
        <f t="shared" ca="1" si="1"/>
        <v>2.3222627021888056</v>
      </c>
      <c r="P44">
        <f t="shared" ca="1" si="1"/>
        <v>2.2770504938508962</v>
      </c>
      <c r="Q44">
        <f t="shared" ca="1" si="1"/>
        <v>2.8029981127764376</v>
      </c>
      <c r="R44">
        <f t="shared" ca="1" si="1"/>
        <v>2.6267223105517639</v>
      </c>
      <c r="S44">
        <f t="shared" ca="1" si="1"/>
        <v>2.4394583379573676</v>
      </c>
      <c r="T44">
        <f t="shared" ca="1" si="1"/>
        <v>2.9563258032045163</v>
      </c>
      <c r="U44">
        <f t="shared" ca="1" si="1"/>
        <v>2.9902964430624328</v>
      </c>
      <c r="V44">
        <f t="shared" ca="1" si="1"/>
        <v>2.6108589798651227</v>
      </c>
      <c r="W44">
        <f t="shared" ca="1" si="2"/>
        <v>2.2479679099877758</v>
      </c>
      <c r="X44">
        <f t="shared" ca="1" si="2"/>
        <v>2.7624371464298316</v>
      </c>
      <c r="Y44">
        <f t="shared" ca="1" si="2"/>
        <v>2.239996116749233</v>
      </c>
      <c r="Z44">
        <f t="shared" ca="1" si="2"/>
        <v>2.4599610521270994</v>
      </c>
      <c r="AA44">
        <f t="shared" ca="1" si="2"/>
        <v>2.2864936943392795</v>
      </c>
      <c r="AB44">
        <f t="shared" ca="1" si="2"/>
        <v>2.8085003295405429</v>
      </c>
      <c r="AC44">
        <f t="shared" ca="1" si="2"/>
        <v>2.5098866137642952</v>
      </c>
      <c r="AD44">
        <f t="shared" ca="1" si="2"/>
        <v>2.8794020156180382</v>
      </c>
      <c r="AE44">
        <f t="shared" ca="1" si="2"/>
        <v>2.9573349767765134</v>
      </c>
      <c r="AF44">
        <f t="shared" ca="1" si="2"/>
        <v>2.9626918017774728</v>
      </c>
    </row>
    <row r="45" spans="1:32" x14ac:dyDescent="0.25">
      <c r="A45">
        <v>9</v>
      </c>
      <c r="B45">
        <v>60</v>
      </c>
      <c r="C45">
        <f t="shared" ca="1" si="0"/>
        <v>2.8753070704881196</v>
      </c>
      <c r="D45">
        <f t="shared" ca="1" si="0"/>
        <v>2.1402585657666378</v>
      </c>
      <c r="E45">
        <f t="shared" ca="1" si="0"/>
        <v>2.0072212895107455</v>
      </c>
      <c r="F45">
        <f t="shared" ca="1" si="0"/>
        <v>1.8740564295776672</v>
      </c>
      <c r="G45">
        <f t="shared" ca="1" si="0"/>
        <v>1.9463117220241424</v>
      </c>
      <c r="H45">
        <f t="shared" ca="1" si="0"/>
        <v>2.8509171005092302</v>
      </c>
      <c r="I45">
        <f t="shared" ca="1" si="0"/>
        <v>2.5527829976164176</v>
      </c>
      <c r="J45">
        <f t="shared" ca="1" si="0"/>
        <v>3.3924974227868248</v>
      </c>
      <c r="K45">
        <f t="shared" ca="1" si="0"/>
        <v>2.878003272374412</v>
      </c>
      <c r="L45">
        <f t="shared" ca="1" si="0"/>
        <v>2.4601984725104358</v>
      </c>
      <c r="M45">
        <f t="shared" ca="1" si="1"/>
        <v>2.3462534223890286</v>
      </c>
      <c r="N45">
        <f t="shared" ca="1" si="1"/>
        <v>2.8451741536604103</v>
      </c>
      <c r="O45">
        <f t="shared" ca="1" si="1"/>
        <v>3.0960412173954368</v>
      </c>
      <c r="P45">
        <f t="shared" ca="1" si="1"/>
        <v>2.3797161035169156</v>
      </c>
      <c r="Q45">
        <f t="shared" ca="1" si="1"/>
        <v>3.1264690360841438</v>
      </c>
      <c r="R45">
        <f t="shared" ca="1" si="1"/>
        <v>2.571252894660633</v>
      </c>
      <c r="S45">
        <f t="shared" ca="1" si="1"/>
        <v>2.6294618880636147</v>
      </c>
      <c r="T45">
        <f t="shared" ca="1" si="1"/>
        <v>2.4262326665050762</v>
      </c>
      <c r="U45">
        <f t="shared" ca="1" si="1"/>
        <v>2.5373150838257632</v>
      </c>
      <c r="V45">
        <f t="shared" ca="1" si="1"/>
        <v>2.4678494984460224</v>
      </c>
      <c r="W45">
        <f t="shared" ca="1" si="2"/>
        <v>2.3383253834482391</v>
      </c>
      <c r="X45">
        <f t="shared" ca="1" si="2"/>
        <v>2.9947007872298186</v>
      </c>
      <c r="Y45">
        <f t="shared" ca="1" si="2"/>
        <v>2.818326028839282</v>
      </c>
      <c r="Z45">
        <f t="shared" ca="1" si="2"/>
        <v>2.2921096914626591</v>
      </c>
      <c r="AA45">
        <f t="shared" ca="1" si="2"/>
        <v>2.842062132287317</v>
      </c>
      <c r="AB45">
        <f t="shared" ca="1" si="2"/>
        <v>1.9885905264106425</v>
      </c>
      <c r="AC45">
        <f t="shared" ca="1" si="2"/>
        <v>2.347278898712756</v>
      </c>
      <c r="AD45">
        <f t="shared" ca="1" si="2"/>
        <v>2.775442906160416</v>
      </c>
      <c r="AE45">
        <f t="shared" ca="1" si="2"/>
        <v>2.2700746549690258</v>
      </c>
      <c r="AF45">
        <f t="shared" ca="1" si="2"/>
        <v>2.550873796249105</v>
      </c>
    </row>
    <row r="46" spans="1:32" x14ac:dyDescent="0.25">
      <c r="A46">
        <v>10</v>
      </c>
      <c r="B46">
        <v>80</v>
      </c>
      <c r="C46">
        <f t="shared" ca="1" si="0"/>
        <v>3.0910934597303683</v>
      </c>
      <c r="D46">
        <f t="shared" ca="1" si="0"/>
        <v>2.7139170572143865</v>
      </c>
      <c r="E46">
        <f t="shared" ca="1" si="0"/>
        <v>2.2366353688912155</v>
      </c>
      <c r="F46">
        <f t="shared" ca="1" si="0"/>
        <v>3.0851412238159184</v>
      </c>
      <c r="G46">
        <f t="shared" ca="1" si="0"/>
        <v>2.9425219269683645</v>
      </c>
      <c r="H46">
        <f t="shared" ca="1" si="0"/>
        <v>2.9867419917343807</v>
      </c>
      <c r="I46">
        <f t="shared" ca="1" si="0"/>
        <v>2.5713125822821441</v>
      </c>
      <c r="J46">
        <f t="shared" ca="1" si="0"/>
        <v>3.0489034466519969</v>
      </c>
      <c r="K46">
        <f t="shared" ca="1" si="0"/>
        <v>2.7655749624904487</v>
      </c>
      <c r="L46">
        <f t="shared" ca="1" si="0"/>
        <v>3.075526263377808</v>
      </c>
      <c r="M46">
        <f t="shared" ca="1" si="1"/>
        <v>2.8061067853116484</v>
      </c>
      <c r="N46">
        <f t="shared" ca="1" si="1"/>
        <v>2.9897099407569838</v>
      </c>
      <c r="O46">
        <f t="shared" ca="1" si="1"/>
        <v>3.1239284691351505</v>
      </c>
      <c r="P46">
        <f t="shared" ca="1" si="1"/>
        <v>2.5192808463248726</v>
      </c>
      <c r="Q46">
        <f t="shared" ca="1" si="1"/>
        <v>2.6236202519692298</v>
      </c>
      <c r="R46">
        <f t="shared" ca="1" si="1"/>
        <v>3.0493598067181078</v>
      </c>
      <c r="S46">
        <f t="shared" ca="1" si="1"/>
        <v>2.3705739148803455</v>
      </c>
      <c r="T46">
        <f t="shared" ca="1" si="1"/>
        <v>2.4113364812150775</v>
      </c>
      <c r="U46">
        <f t="shared" ca="1" si="1"/>
        <v>2.8462826498223723</v>
      </c>
      <c r="V46">
        <f t="shared" ca="1" si="1"/>
        <v>3.520855878974765</v>
      </c>
      <c r="W46">
        <f t="shared" ca="1" si="2"/>
        <v>2.9223670648969944</v>
      </c>
      <c r="X46">
        <f t="shared" ca="1" si="2"/>
        <v>2.7747327300906872</v>
      </c>
      <c r="Y46">
        <f t="shared" ca="1" si="2"/>
        <v>2.5747715973200798</v>
      </c>
      <c r="Z46">
        <f t="shared" ca="1" si="2"/>
        <v>2.8588497065685452</v>
      </c>
      <c r="AA46">
        <f t="shared" ca="1" si="2"/>
        <v>2.9155228920659182</v>
      </c>
      <c r="AB46">
        <f t="shared" ca="1" si="2"/>
        <v>2.8882905451185255</v>
      </c>
      <c r="AC46">
        <f t="shared" ca="1" si="2"/>
        <v>2.9370173666313182</v>
      </c>
      <c r="AD46">
        <f t="shared" ca="1" si="2"/>
        <v>2.7960485936545445</v>
      </c>
      <c r="AE46">
        <f t="shared" ca="1" si="2"/>
        <v>2.7943273893441725</v>
      </c>
      <c r="AF46">
        <f t="shared" ca="1" si="2"/>
        <v>2.5867571683993575</v>
      </c>
    </row>
    <row r="47" spans="1:32" x14ac:dyDescent="0.25">
      <c r="A47">
        <v>11</v>
      </c>
      <c r="B47">
        <v>80</v>
      </c>
      <c r="C47">
        <f t="shared" ca="1" si="0"/>
        <v>2.7289712806303705</v>
      </c>
      <c r="D47">
        <f t="shared" ca="1" si="0"/>
        <v>2.7161675431007124</v>
      </c>
      <c r="E47">
        <f t="shared" ca="1" si="0"/>
        <v>2.4990624260970526</v>
      </c>
      <c r="F47">
        <f t="shared" ca="1" si="0"/>
        <v>3.0555341533767755</v>
      </c>
      <c r="G47">
        <f t="shared" ca="1" si="0"/>
        <v>2.5992110642795274</v>
      </c>
      <c r="H47">
        <f t="shared" ca="1" si="0"/>
        <v>3.4061858706359773</v>
      </c>
      <c r="I47">
        <f t="shared" ca="1" si="0"/>
        <v>2.5579730132858152</v>
      </c>
      <c r="J47">
        <f t="shared" ca="1" si="0"/>
        <v>2.6228585418517603</v>
      </c>
      <c r="K47">
        <f t="shared" ca="1" si="0"/>
        <v>2.6517769088669843</v>
      </c>
      <c r="L47">
        <f t="shared" ca="1" si="0"/>
        <v>2.4330853425930035</v>
      </c>
      <c r="M47">
        <f t="shared" ca="1" si="1"/>
        <v>2.2883286132171521</v>
      </c>
      <c r="N47">
        <f t="shared" ca="1" si="1"/>
        <v>2.3092278905244257</v>
      </c>
      <c r="O47">
        <f t="shared" ca="1" si="1"/>
        <v>2.7277799289936637</v>
      </c>
      <c r="P47">
        <f t="shared" ca="1" si="1"/>
        <v>2.7738432491917453</v>
      </c>
      <c r="Q47">
        <f t="shared" ca="1" si="1"/>
        <v>3.0310580321374196</v>
      </c>
      <c r="R47">
        <f t="shared" ca="1" si="1"/>
        <v>3.0465814383737428</v>
      </c>
      <c r="S47">
        <f t="shared" ca="1" si="1"/>
        <v>3.4543354023823722</v>
      </c>
      <c r="T47">
        <f t="shared" ca="1" si="1"/>
        <v>3.3522181244313281</v>
      </c>
      <c r="U47">
        <f t="shared" ca="1" si="1"/>
        <v>3.2878986181677097</v>
      </c>
      <c r="V47">
        <f t="shared" ca="1" si="1"/>
        <v>2.8150967229729198</v>
      </c>
      <c r="W47">
        <f t="shared" ca="1" si="2"/>
        <v>2.5432410393481213</v>
      </c>
      <c r="X47">
        <f t="shared" ca="1" si="2"/>
        <v>3.1632342916556291</v>
      </c>
      <c r="Y47">
        <f t="shared" ca="1" si="2"/>
        <v>3.2925455603166283</v>
      </c>
      <c r="Z47">
        <f t="shared" ca="1" si="2"/>
        <v>3.1137096887663387</v>
      </c>
      <c r="AA47">
        <f t="shared" ca="1" si="2"/>
        <v>2.4106050921001247</v>
      </c>
      <c r="AB47">
        <f t="shared" ca="1" si="2"/>
        <v>3.0650694540773751</v>
      </c>
      <c r="AC47">
        <f t="shared" ca="1" si="2"/>
        <v>2.6818255136990565</v>
      </c>
      <c r="AD47">
        <f t="shared" ca="1" si="2"/>
        <v>2.37189172921267</v>
      </c>
      <c r="AE47">
        <f t="shared" ca="1" si="2"/>
        <v>2.5362735358378812</v>
      </c>
      <c r="AF47">
        <f t="shared" ca="1" si="2"/>
        <v>2.6715075311106982</v>
      </c>
    </row>
    <row r="48" spans="1:32" x14ac:dyDescent="0.25">
      <c r="A48">
        <v>12</v>
      </c>
      <c r="B48">
        <v>80</v>
      </c>
      <c r="C48">
        <f t="shared" ca="1" si="0"/>
        <v>2.9334933632682154</v>
      </c>
      <c r="D48">
        <f t="shared" ca="1" si="0"/>
        <v>2.1386244592299164</v>
      </c>
      <c r="E48">
        <f t="shared" ca="1" si="0"/>
        <v>1.883065198761368</v>
      </c>
      <c r="F48">
        <f t="shared" ca="1" si="0"/>
        <v>2.9486352382205996</v>
      </c>
      <c r="G48">
        <f t="shared" ca="1" si="0"/>
        <v>2.7179900044909426</v>
      </c>
      <c r="H48">
        <f t="shared" ca="1" si="0"/>
        <v>2.8921699187310796</v>
      </c>
      <c r="I48">
        <f t="shared" ca="1" si="0"/>
        <v>2.7030900898563508</v>
      </c>
      <c r="J48">
        <f t="shared" ca="1" si="0"/>
        <v>2.8323624415817492</v>
      </c>
      <c r="K48">
        <f t="shared" ca="1" si="0"/>
        <v>2.6224726820142186</v>
      </c>
      <c r="L48">
        <f t="shared" ca="1" si="0"/>
        <v>2.5618862971612937</v>
      </c>
      <c r="M48">
        <f t="shared" ca="1" si="1"/>
        <v>2.112050954185853</v>
      </c>
      <c r="N48">
        <f t="shared" ca="1" si="1"/>
        <v>2.9643406375734518</v>
      </c>
      <c r="O48">
        <f t="shared" ca="1" si="1"/>
        <v>2.9308233251937277</v>
      </c>
      <c r="P48">
        <f t="shared" ca="1" si="1"/>
        <v>2.906677240165668</v>
      </c>
      <c r="Q48">
        <f t="shared" ca="1" si="1"/>
        <v>1.9706325438909618</v>
      </c>
      <c r="R48">
        <f t="shared" ca="1" si="1"/>
        <v>2.4529508621259857</v>
      </c>
      <c r="S48">
        <f t="shared" ca="1" si="1"/>
        <v>2.4146989835522792</v>
      </c>
      <c r="T48">
        <f t="shared" ca="1" si="1"/>
        <v>3.1684597153515117</v>
      </c>
      <c r="U48">
        <f t="shared" ca="1" si="1"/>
        <v>3.2198812855738415</v>
      </c>
      <c r="V48">
        <f t="shared" ca="1" si="1"/>
        <v>3.1001983291564166</v>
      </c>
      <c r="W48">
        <f t="shared" ca="1" si="2"/>
        <v>2.5989828719784578</v>
      </c>
      <c r="X48">
        <f t="shared" ca="1" si="2"/>
        <v>3.0634289152932919</v>
      </c>
      <c r="Y48">
        <f t="shared" ca="1" si="2"/>
        <v>3.0811701723562868</v>
      </c>
      <c r="Z48">
        <f t="shared" ca="1" si="2"/>
        <v>2.5554484104729482</v>
      </c>
      <c r="AA48">
        <f t="shared" ca="1" si="2"/>
        <v>3.0530861245052914</v>
      </c>
      <c r="AB48">
        <f t="shared" ca="1" si="2"/>
        <v>3.5657102716669757</v>
      </c>
      <c r="AC48">
        <f t="shared" ca="1" si="2"/>
        <v>2.1463825912600538</v>
      </c>
      <c r="AD48">
        <f t="shared" ca="1" si="2"/>
        <v>2.7884874989207393</v>
      </c>
      <c r="AE48">
        <f t="shared" ca="1" si="2"/>
        <v>2.8146994429044914</v>
      </c>
      <c r="AF48">
        <f t="shared" ca="1" si="2"/>
        <v>2.9375634208925869</v>
      </c>
    </row>
    <row r="50" spans="1:32" x14ac:dyDescent="0.25">
      <c r="A50" t="s">
        <v>241</v>
      </c>
      <c r="C50">
        <f ca="1">INTERCEPT(C37:C48,$B$37:$B$48)</f>
        <v>2.2957456213812395</v>
      </c>
      <c r="D50">
        <f t="shared" ref="D50:AF50" ca="1" si="3">INTERCEPT(D37:D48,$B$37:$B$48)</f>
        <v>2.0264840410751876</v>
      </c>
      <c r="E50">
        <f t="shared" ca="1" si="3"/>
        <v>2.2540791855720492</v>
      </c>
      <c r="F50">
        <f t="shared" ca="1" si="3"/>
        <v>1.8613161944870655</v>
      </c>
      <c r="G50">
        <f t="shared" ca="1" si="3"/>
        <v>2.1965399540585295</v>
      </c>
      <c r="H50">
        <f t="shared" ca="1" si="3"/>
        <v>2.0944454182336534</v>
      </c>
      <c r="I50">
        <f t="shared" ca="1" si="3"/>
        <v>2.2068970824489238</v>
      </c>
      <c r="J50">
        <f t="shared" ca="1" si="3"/>
        <v>2.3101132732419489</v>
      </c>
      <c r="K50">
        <f t="shared" ca="1" si="3"/>
        <v>2.0547184084370933</v>
      </c>
      <c r="L50">
        <f t="shared" ca="1" si="3"/>
        <v>2.0844826946153883</v>
      </c>
      <c r="M50">
        <f t="shared" ca="1" si="3"/>
        <v>2.388796799326764</v>
      </c>
      <c r="N50">
        <f t="shared" ca="1" si="3"/>
        <v>1.9111339594364816</v>
      </c>
      <c r="O50">
        <f t="shared" ca="1" si="3"/>
        <v>2.1198902908096935</v>
      </c>
      <c r="P50">
        <f t="shared" ca="1" si="3"/>
        <v>1.8257701551695944</v>
      </c>
      <c r="Q50">
        <f t="shared" ca="1" si="3"/>
        <v>2.1446757440180875</v>
      </c>
      <c r="R50">
        <f t="shared" ca="1" si="3"/>
        <v>2.074967788578999</v>
      </c>
      <c r="S50">
        <f t="shared" ca="1" si="3"/>
        <v>1.8627931206867321</v>
      </c>
      <c r="T50">
        <f t="shared" ca="1" si="3"/>
        <v>1.8170095192769717</v>
      </c>
      <c r="U50">
        <f t="shared" ca="1" si="3"/>
        <v>2.0280692643004241</v>
      </c>
      <c r="V50">
        <f t="shared" ca="1" si="3"/>
        <v>2.0830204514427018</v>
      </c>
      <c r="W50">
        <f t="shared" ca="1" si="3"/>
        <v>2.1558535960229568</v>
      </c>
      <c r="X50">
        <f t="shared" ca="1" si="3"/>
        <v>2.0775674240328361</v>
      </c>
      <c r="Y50">
        <f t="shared" ca="1" si="3"/>
        <v>2.2779423890032517</v>
      </c>
      <c r="Z50">
        <f t="shared" ca="1" si="3"/>
        <v>2.20858016843101</v>
      </c>
      <c r="AA50">
        <f t="shared" ca="1" si="3"/>
        <v>1.7463266726350608</v>
      </c>
      <c r="AB50">
        <f t="shared" ca="1" si="3"/>
        <v>1.594770364999428</v>
      </c>
      <c r="AC50">
        <f t="shared" ca="1" si="3"/>
        <v>2.1180333941236458</v>
      </c>
      <c r="AD50">
        <f t="shared" ca="1" si="3"/>
        <v>1.9444172594462095</v>
      </c>
      <c r="AE50">
        <f t="shared" ca="1" si="3"/>
        <v>2.0214775304480459</v>
      </c>
      <c r="AF50">
        <f t="shared" ca="1" si="3"/>
        <v>1.7079506695624402</v>
      </c>
    </row>
    <row r="51" spans="1:32" x14ac:dyDescent="0.25">
      <c r="A51" t="s">
        <v>240</v>
      </c>
      <c r="C51">
        <f ca="1">SLOPE(C37:C48,$B$37:$B$48)</f>
        <v>8.4670095061160234E-3</v>
      </c>
      <c r="D51">
        <f t="shared" ref="D51:AF51" ca="1" si="4">SLOPE(D37:D48,$B$37:$B$48)</f>
        <v>6.9047708711086611E-3</v>
      </c>
      <c r="E51">
        <f t="shared" ca="1" si="4"/>
        <v>-1.4919883277432136E-4</v>
      </c>
      <c r="F51">
        <f t="shared" ca="1" si="4"/>
        <v>1.1902748979752829E-2</v>
      </c>
      <c r="G51">
        <f t="shared" ca="1" si="4"/>
        <v>6.9378086951080225E-3</v>
      </c>
      <c r="H51">
        <f t="shared" ca="1" si="4"/>
        <v>1.07483876563446E-2</v>
      </c>
      <c r="I51">
        <f t="shared" ca="1" si="4"/>
        <v>5.0060798989904533E-3</v>
      </c>
      <c r="J51">
        <f t="shared" ca="1" si="4"/>
        <v>7.8052243003816895E-3</v>
      </c>
      <c r="K51">
        <f t="shared" ca="1" si="4"/>
        <v>9.3646980864162208E-3</v>
      </c>
      <c r="L51">
        <f t="shared" ca="1" si="4"/>
        <v>8.2453206869315589E-3</v>
      </c>
      <c r="M51">
        <f t="shared" ca="1" si="4"/>
        <v>1.6479937471893002E-4</v>
      </c>
      <c r="N51">
        <f t="shared" ca="1" si="4"/>
        <v>1.1312202263943952E-2</v>
      </c>
      <c r="O51">
        <f t="shared" ca="1" si="4"/>
        <v>1.009932977673858E-2</v>
      </c>
      <c r="P51">
        <f t="shared" ca="1" si="4"/>
        <v>1.148581735629344E-2</v>
      </c>
      <c r="Q51">
        <f t="shared" ca="1" si="4"/>
        <v>6.8789491241036844E-3</v>
      </c>
      <c r="R51">
        <f t="shared" ca="1" si="4"/>
        <v>9.0565080565858901E-3</v>
      </c>
      <c r="S51">
        <f t="shared" ca="1" si="4"/>
        <v>1.0493361046839648E-2</v>
      </c>
      <c r="T51">
        <f t="shared" ca="1" si="4"/>
        <v>1.50432098254187E-2</v>
      </c>
      <c r="U51">
        <f t="shared" ca="1" si="4"/>
        <v>1.365905268059147E-2</v>
      </c>
      <c r="V51">
        <f t="shared" ca="1" si="4"/>
        <v>1.1859460569467075E-2</v>
      </c>
      <c r="W51">
        <f t="shared" ca="1" si="4"/>
        <v>6.8483524303545465E-3</v>
      </c>
      <c r="X51">
        <f t="shared" ca="1" si="4"/>
        <v>1.1789466935959315E-2</v>
      </c>
      <c r="Y51">
        <f t="shared" ca="1" si="4"/>
        <v>8.5073129151039244E-3</v>
      </c>
      <c r="Z51">
        <f t="shared" ca="1" si="4"/>
        <v>6.9897707277296814E-3</v>
      </c>
      <c r="AA51">
        <f t="shared" ca="1" si="4"/>
        <v>1.2530571240025301E-2</v>
      </c>
      <c r="AB51">
        <f t="shared" ca="1" si="4"/>
        <v>1.7837539718822161E-2</v>
      </c>
      <c r="AC51">
        <f t="shared" ca="1" si="4"/>
        <v>5.0910938530079703E-3</v>
      </c>
      <c r="AD51">
        <f t="shared" ca="1" si="4"/>
        <v>1.1306259961113693E-2</v>
      </c>
      <c r="AE51">
        <f t="shared" ca="1" si="4"/>
        <v>9.309447318279299E-3</v>
      </c>
      <c r="AF51">
        <f t="shared" ca="1" si="4"/>
        <v>1.3757228715130139E-2</v>
      </c>
    </row>
    <row r="53" spans="1:32" x14ac:dyDescent="0.25">
      <c r="A53" t="s">
        <v>242</v>
      </c>
      <c r="C53">
        <f ca="1">C37-(C$50+C$51*$B37)</f>
        <v>-0.20973091053596615</v>
      </c>
      <c r="D53">
        <f t="shared" ref="D53:AF62" ca="1" si="5">D37-(D$50+D$51*$B37)</f>
        <v>-0.38328430780500167</v>
      </c>
      <c r="E53">
        <f t="shared" ca="1" si="5"/>
        <v>0.24459724436059682</v>
      </c>
      <c r="F53">
        <f t="shared" ca="1" si="5"/>
        <v>0.20491424622915533</v>
      </c>
      <c r="G53">
        <f t="shared" ca="1" si="5"/>
        <v>0.3235688697588146</v>
      </c>
      <c r="H53">
        <f t="shared" ca="1" si="5"/>
        <v>-4.0459202466471389E-2</v>
      </c>
      <c r="I53">
        <f t="shared" ca="1" si="5"/>
        <v>0.59640473731948607</v>
      </c>
      <c r="J53">
        <f t="shared" ca="1" si="5"/>
        <v>-4.9655521231481536E-2</v>
      </c>
      <c r="K53">
        <f t="shared" ca="1" si="5"/>
        <v>-0.37587449107702131</v>
      </c>
      <c r="L53">
        <f t="shared" ca="1" si="5"/>
        <v>-0.20918252800181136</v>
      </c>
      <c r="M53">
        <f t="shared" ca="1" si="5"/>
        <v>9.8205563207170332E-2</v>
      </c>
      <c r="N53">
        <f t="shared" ca="1" si="5"/>
        <v>-0.16861485142851862</v>
      </c>
      <c r="O53">
        <f t="shared" ca="1" si="5"/>
        <v>-0.14633781555987646</v>
      </c>
      <c r="P53">
        <f t="shared" ca="1" si="5"/>
        <v>4.3289702961613052E-2</v>
      </c>
      <c r="Q53">
        <f t="shared" ca="1" si="5"/>
        <v>8.8006494088545661E-2</v>
      </c>
      <c r="R53">
        <f t="shared" ca="1" si="5"/>
        <v>0.42631244060469697</v>
      </c>
      <c r="S53">
        <f t="shared" ca="1" si="5"/>
        <v>0.59233210869753039</v>
      </c>
      <c r="T53">
        <f t="shared" ca="1" si="5"/>
        <v>-0.12559814660429391</v>
      </c>
      <c r="U53">
        <f t="shared" ca="1" si="5"/>
        <v>3.6457994806249783E-2</v>
      </c>
      <c r="V53">
        <f t="shared" ca="1" si="5"/>
        <v>-9.0271842659974677E-2</v>
      </c>
      <c r="W53">
        <f t="shared" ca="1" si="5"/>
        <v>-9.919979006949653E-2</v>
      </c>
      <c r="X53">
        <f t="shared" ca="1" si="5"/>
        <v>-0.13790487017892072</v>
      </c>
      <c r="Y53">
        <f t="shared" ca="1" si="5"/>
        <v>0.28630974977032331</v>
      </c>
      <c r="Z53">
        <f t="shared" ca="1" si="5"/>
        <v>-0.32673245949171248</v>
      </c>
      <c r="AA53">
        <f t="shared" ca="1" si="5"/>
        <v>4.5228415667639688E-3</v>
      </c>
      <c r="AB53">
        <f t="shared" ca="1" si="5"/>
        <v>0.34065232640166521</v>
      </c>
      <c r="AC53">
        <f t="shared" ca="1" si="5"/>
        <v>-0.10218571576450541</v>
      </c>
      <c r="AD53">
        <f t="shared" ca="1" si="5"/>
        <v>-0.31395947655592327</v>
      </c>
      <c r="AE53">
        <f t="shared" ca="1" si="5"/>
        <v>-0.250642056972608</v>
      </c>
      <c r="AF53">
        <f t="shared" ca="1" si="5"/>
        <v>-0.13044750639304725</v>
      </c>
    </row>
    <row r="54" spans="1:32" x14ac:dyDescent="0.25">
      <c r="C54">
        <f t="shared" ref="C54:R64" ca="1" si="6">C38-(C$50+C$51*$B38)</f>
        <v>-0.20793598787518963</v>
      </c>
      <c r="D54">
        <f t="shared" ca="1" si="6"/>
        <v>-0.19987799504542303</v>
      </c>
      <c r="E54">
        <f t="shared" ca="1" si="6"/>
        <v>3.6479981609715662E-2</v>
      </c>
      <c r="F54">
        <f t="shared" ca="1" si="6"/>
        <v>-0.33111189438656519</v>
      </c>
      <c r="G54">
        <f t="shared" ca="1" si="6"/>
        <v>4.9287950245484602E-2</v>
      </c>
      <c r="H54">
        <f t="shared" ca="1" si="6"/>
        <v>0.23348255531865769</v>
      </c>
      <c r="I54">
        <f t="shared" ca="1" si="6"/>
        <v>-4.9946470376947438E-2</v>
      </c>
      <c r="J54">
        <f t="shared" ca="1" si="6"/>
        <v>0.25920179380887376</v>
      </c>
      <c r="K54">
        <f t="shared" ca="1" si="6"/>
        <v>-3.697192271075922E-2</v>
      </c>
      <c r="L54">
        <f t="shared" ca="1" si="6"/>
        <v>0.35617494470913069</v>
      </c>
      <c r="M54">
        <f t="shared" ca="1" si="6"/>
        <v>8.0998486968337335E-2</v>
      </c>
      <c r="N54">
        <f t="shared" ca="1" si="6"/>
        <v>-0.1573408332352797</v>
      </c>
      <c r="O54">
        <f t="shared" ca="1" si="6"/>
        <v>0.3073116702617904</v>
      </c>
      <c r="P54">
        <f t="shared" ca="1" si="6"/>
        <v>0.19226251770076219</v>
      </c>
      <c r="Q54">
        <f t="shared" ca="1" si="6"/>
        <v>0.2383182037241971</v>
      </c>
      <c r="R54">
        <f t="shared" ca="1" si="6"/>
        <v>-1.2635835782203841E-2</v>
      </c>
      <c r="S54">
        <f t="shared" ca="1" si="5"/>
        <v>-3.1587225503813876E-2</v>
      </c>
      <c r="T54">
        <f t="shared" ca="1" si="5"/>
        <v>0.24245823751233697</v>
      </c>
      <c r="U54">
        <f t="shared" ca="1" si="5"/>
        <v>-3.9437902339933828E-3</v>
      </c>
      <c r="V54">
        <f t="shared" ca="1" si="5"/>
        <v>0.12009425921635408</v>
      </c>
      <c r="W54">
        <f t="shared" ca="1" si="5"/>
        <v>-0.34337074450209792</v>
      </c>
      <c r="X54">
        <f t="shared" ca="1" si="5"/>
        <v>-3.163055521113689E-2</v>
      </c>
      <c r="Y54">
        <f t="shared" ca="1" si="5"/>
        <v>-3.0249106851777174E-2</v>
      </c>
      <c r="Z54">
        <f t="shared" ca="1" si="5"/>
        <v>0.51099479892116539</v>
      </c>
      <c r="AA54">
        <f t="shared" ca="1" si="5"/>
        <v>0.22510730447438121</v>
      </c>
      <c r="AB54">
        <f t="shared" ca="1" si="5"/>
        <v>0.10531043912745863</v>
      </c>
      <c r="AC54">
        <f t="shared" ca="1" si="5"/>
        <v>0.18733532981228063</v>
      </c>
      <c r="AD54">
        <f t="shared" ca="1" si="5"/>
        <v>0.2524671064165398</v>
      </c>
      <c r="AE54">
        <f t="shared" ca="1" si="5"/>
        <v>-4.7960851617088185E-2</v>
      </c>
      <c r="AF54">
        <f t="shared" ca="1" si="5"/>
        <v>0.51899203636421865</v>
      </c>
    </row>
    <row r="55" spans="1:32" x14ac:dyDescent="0.25">
      <c r="C55">
        <f t="shared" ca="1" si="6"/>
        <v>0.11673617085109056</v>
      </c>
      <c r="D55">
        <f t="shared" ca="1" si="5"/>
        <v>0.27047223381733598</v>
      </c>
      <c r="E55">
        <f t="shared" ca="1" si="5"/>
        <v>-0.35653980881126324</v>
      </c>
      <c r="F55">
        <f t="shared" ca="1" si="5"/>
        <v>0.53645512696642728</v>
      </c>
      <c r="G55">
        <f t="shared" ca="1" si="5"/>
        <v>-0.46473700635318238</v>
      </c>
      <c r="H55">
        <f t="shared" ca="1" si="5"/>
        <v>0.45630319899995131</v>
      </c>
      <c r="I55">
        <f t="shared" ca="1" si="5"/>
        <v>-1.3476974487217852E-2</v>
      </c>
      <c r="J55">
        <f t="shared" ca="1" si="5"/>
        <v>-0.1754259213008309</v>
      </c>
      <c r="K55">
        <f t="shared" ca="1" si="5"/>
        <v>0.19104516603008115</v>
      </c>
      <c r="L55">
        <f t="shared" ca="1" si="5"/>
        <v>-0.37873877062688965</v>
      </c>
      <c r="M55">
        <f t="shared" ca="1" si="5"/>
        <v>-0.13794589633108467</v>
      </c>
      <c r="N55">
        <f t="shared" ca="1" si="5"/>
        <v>-6.1982498792819474E-2</v>
      </c>
      <c r="O55">
        <f t="shared" ca="1" si="5"/>
        <v>-0.14558598100197218</v>
      </c>
      <c r="P55">
        <f t="shared" ca="1" si="5"/>
        <v>-1.2000374917659595E-2</v>
      </c>
      <c r="Q55">
        <f t="shared" ca="1" si="5"/>
        <v>-6.4491469268736612E-2</v>
      </c>
      <c r="R55">
        <f t="shared" ca="1" si="5"/>
        <v>-0.30849492734622141</v>
      </c>
      <c r="S55">
        <f t="shared" ca="1" si="5"/>
        <v>-0.21609185961201405</v>
      </c>
      <c r="T55">
        <f t="shared" ca="1" si="5"/>
        <v>-0.39440319353076592</v>
      </c>
      <c r="U55">
        <f t="shared" ca="1" si="5"/>
        <v>-0.14434380324448304</v>
      </c>
      <c r="V55">
        <f t="shared" ca="1" si="5"/>
        <v>0.26831724870141072</v>
      </c>
      <c r="W55">
        <f t="shared" ca="1" si="5"/>
        <v>0.21211043181690314</v>
      </c>
      <c r="X55">
        <f t="shared" ca="1" si="5"/>
        <v>5.4160881638461777E-2</v>
      </c>
      <c r="Y55">
        <f t="shared" ca="1" si="5"/>
        <v>2.9198576103580898E-2</v>
      </c>
      <c r="Z55">
        <f t="shared" ca="1" si="5"/>
        <v>-0.32107070879068189</v>
      </c>
      <c r="AA55">
        <f t="shared" ca="1" si="5"/>
        <v>-2.535860786469879E-2</v>
      </c>
      <c r="AB55">
        <f t="shared" ca="1" si="5"/>
        <v>-0.32494114374826921</v>
      </c>
      <c r="AC55">
        <f t="shared" ca="1" si="5"/>
        <v>0.19632352360278427</v>
      </c>
      <c r="AD55">
        <f t="shared" ca="1" si="5"/>
        <v>-0.34812391876912185</v>
      </c>
      <c r="AE55">
        <f t="shared" ca="1" si="5"/>
        <v>6.8602232530946328E-2</v>
      </c>
      <c r="AF55">
        <f t="shared" ca="1" si="5"/>
        <v>-0.52959857120064902</v>
      </c>
    </row>
    <row r="56" spans="1:32" x14ac:dyDescent="0.25">
      <c r="C56">
        <f t="shared" ca="1" si="6"/>
        <v>-0.12916972043489761</v>
      </c>
      <c r="D56">
        <f t="shared" ca="1" si="5"/>
        <v>0.62335280408501648</v>
      </c>
      <c r="E56">
        <f t="shared" ca="1" si="5"/>
        <v>-0.34695891081950325</v>
      </c>
      <c r="F56">
        <f t="shared" ca="1" si="5"/>
        <v>-0.15090865664241981</v>
      </c>
      <c r="G56">
        <f t="shared" ca="1" si="5"/>
        <v>-0.85134118533117098</v>
      </c>
      <c r="H56">
        <f t="shared" ca="1" si="5"/>
        <v>-0.34173622486769695</v>
      </c>
      <c r="I56">
        <f t="shared" ca="1" si="5"/>
        <v>-0.24659799931716009</v>
      </c>
      <c r="J56">
        <f t="shared" ca="1" si="5"/>
        <v>0.56041938641487565</v>
      </c>
      <c r="K56">
        <f t="shared" ca="1" si="5"/>
        <v>-6.4929112809908318E-4</v>
      </c>
      <c r="L56">
        <f t="shared" ca="1" si="5"/>
        <v>5.9959729206562784E-2</v>
      </c>
      <c r="M56">
        <f t="shared" ca="1" si="5"/>
        <v>4.8623468938727044E-2</v>
      </c>
      <c r="N56">
        <f t="shared" ca="1" si="5"/>
        <v>-3.8816806514527791E-2</v>
      </c>
      <c r="O56">
        <f t="shared" ca="1" si="5"/>
        <v>-0.23333358449308905</v>
      </c>
      <c r="P56">
        <f t="shared" ca="1" si="5"/>
        <v>0.5280064125307784</v>
      </c>
      <c r="Q56">
        <f t="shared" ca="1" si="5"/>
        <v>-0.32853747950251178</v>
      </c>
      <c r="R56">
        <f t="shared" ca="1" si="5"/>
        <v>-3.483148196493735E-2</v>
      </c>
      <c r="S56">
        <f t="shared" ca="1" si="5"/>
        <v>0.13763647285869318</v>
      </c>
      <c r="T56">
        <f t="shared" ca="1" si="5"/>
        <v>0.22724243257354315</v>
      </c>
      <c r="U56">
        <f t="shared" ca="1" si="5"/>
        <v>0.2232141648408823</v>
      </c>
      <c r="V56">
        <f t="shared" ca="1" si="5"/>
        <v>-0.58175863797945238</v>
      </c>
      <c r="W56">
        <f t="shared" ca="1" si="5"/>
        <v>9.962561127176528E-3</v>
      </c>
      <c r="X56">
        <f t="shared" ca="1" si="5"/>
        <v>-1.0626775675473432E-2</v>
      </c>
      <c r="Y56">
        <f t="shared" ca="1" si="5"/>
        <v>-0.47640849285935172</v>
      </c>
      <c r="Z56">
        <f t="shared" ca="1" si="5"/>
        <v>0.45311659127367232</v>
      </c>
      <c r="AA56">
        <f t="shared" ca="1" si="5"/>
        <v>0.12916276597022947</v>
      </c>
      <c r="AB56">
        <f t="shared" ca="1" si="5"/>
        <v>0.42980227191634812</v>
      </c>
      <c r="AC56">
        <f t="shared" ca="1" si="5"/>
        <v>-0.35492100408709848</v>
      </c>
      <c r="AD56">
        <f t="shared" ca="1" si="5"/>
        <v>8.5708590546335728E-2</v>
      </c>
      <c r="AE56">
        <f t="shared" ca="1" si="5"/>
        <v>-0.11636410126744279</v>
      </c>
      <c r="AF56">
        <f t="shared" ca="1" si="5"/>
        <v>-0.26142590839273039</v>
      </c>
    </row>
    <row r="57" spans="1:32" x14ac:dyDescent="0.25">
      <c r="C57">
        <f t="shared" ca="1" si="6"/>
        <v>0.68999730448970631</v>
      </c>
      <c r="D57">
        <f t="shared" ca="1" si="5"/>
        <v>-0.39268771642131384</v>
      </c>
      <c r="E57">
        <f t="shared" ca="1" si="5"/>
        <v>0.41286477794877774</v>
      </c>
      <c r="F57">
        <f t="shared" ca="1" si="5"/>
        <v>-0.15765241803362784</v>
      </c>
      <c r="G57">
        <f t="shared" ca="1" si="5"/>
        <v>0.75783697400913752</v>
      </c>
      <c r="H57">
        <f t="shared" ca="1" si="5"/>
        <v>-0.59766426949385321</v>
      </c>
      <c r="I57">
        <f t="shared" ca="1" si="5"/>
        <v>-0.41037432902823889</v>
      </c>
      <c r="J57">
        <f t="shared" ca="1" si="5"/>
        <v>-0.81337826464611429</v>
      </c>
      <c r="K57">
        <f t="shared" ca="1" si="5"/>
        <v>0.14152853255669662</v>
      </c>
      <c r="L57">
        <f t="shared" ca="1" si="5"/>
        <v>0.4291457997087269</v>
      </c>
      <c r="M57">
        <f t="shared" ca="1" si="5"/>
        <v>-5.6248730118432011E-2</v>
      </c>
      <c r="N57">
        <f t="shared" ca="1" si="5"/>
        <v>-0.10776733956851592</v>
      </c>
      <c r="O57">
        <f t="shared" ca="1" si="5"/>
        <v>0.28487400889932735</v>
      </c>
      <c r="P57">
        <f t="shared" ca="1" si="5"/>
        <v>-0.31085669575192787</v>
      </c>
      <c r="Q57">
        <f t="shared" ca="1" si="5"/>
        <v>-0.51609257170687384</v>
      </c>
      <c r="R57">
        <f t="shared" ca="1" si="5"/>
        <v>0.16076599675482584</v>
      </c>
      <c r="S57">
        <f t="shared" ca="1" si="5"/>
        <v>-0.51603862669623712</v>
      </c>
      <c r="T57">
        <f t="shared" ca="1" si="5"/>
        <v>0.34795980496104395</v>
      </c>
      <c r="U57">
        <f t="shared" ca="1" si="5"/>
        <v>-7.2477634164322513E-2</v>
      </c>
      <c r="V57">
        <f t="shared" ca="1" si="5"/>
        <v>0.15647739444095121</v>
      </c>
      <c r="W57">
        <f t="shared" ca="1" si="5"/>
        <v>-0.12833004825465366</v>
      </c>
      <c r="X57">
        <f t="shared" ca="1" si="5"/>
        <v>-0.19417768125164736</v>
      </c>
      <c r="Y57">
        <f t="shared" ca="1" si="5"/>
        <v>0.16207838256392337</v>
      </c>
      <c r="Z57">
        <f t="shared" ca="1" si="5"/>
        <v>6.2566253585152332E-2</v>
      </c>
      <c r="AA57">
        <f t="shared" ca="1" si="5"/>
        <v>-0.1385741600106285</v>
      </c>
      <c r="AB57">
        <f t="shared" ca="1" si="5"/>
        <v>-0.25851353797227272</v>
      </c>
      <c r="AC57">
        <f t="shared" ca="1" si="5"/>
        <v>0.22542246514648445</v>
      </c>
      <c r="AD57">
        <f t="shared" ca="1" si="5"/>
        <v>0.49851820459546969</v>
      </c>
      <c r="AE57">
        <f t="shared" ca="1" si="5"/>
        <v>0.3292178080778787</v>
      </c>
      <c r="AF57">
        <f t="shared" ca="1" si="5"/>
        <v>-2.9628106311982982E-2</v>
      </c>
    </row>
    <row r="58" spans="1:32" x14ac:dyDescent="0.25">
      <c r="C58">
        <f t="shared" ca="1" si="6"/>
        <v>-0.12472717091729235</v>
      </c>
      <c r="D58">
        <f t="shared" ca="1" si="5"/>
        <v>0.22682697765584825</v>
      </c>
      <c r="E58">
        <f t="shared" ca="1" si="5"/>
        <v>-2.2647544548048959E-2</v>
      </c>
      <c r="F58">
        <f t="shared" ca="1" si="5"/>
        <v>0.13674839386943116</v>
      </c>
      <c r="G58">
        <f t="shared" ca="1" si="5"/>
        <v>0.28229363075712088</v>
      </c>
      <c r="H58">
        <f t="shared" ca="1" si="5"/>
        <v>6.2895879535049826E-2</v>
      </c>
      <c r="I58">
        <f t="shared" ca="1" si="5"/>
        <v>-0.39876499424541345</v>
      </c>
      <c r="J58">
        <f t="shared" ca="1" si="5"/>
        <v>-0.11475104605383191</v>
      </c>
      <c r="K58">
        <f t="shared" ca="1" si="5"/>
        <v>-6.9134958592721674E-2</v>
      </c>
      <c r="L58">
        <f t="shared" ca="1" si="5"/>
        <v>-0.18743996665378315</v>
      </c>
      <c r="M58">
        <f t="shared" ca="1" si="5"/>
        <v>-7.4346941707323921E-2</v>
      </c>
      <c r="N58">
        <f t="shared" ca="1" si="5"/>
        <v>0.737408560195147</v>
      </c>
      <c r="O58">
        <f t="shared" ca="1" si="5"/>
        <v>-8.3294467329920963E-2</v>
      </c>
      <c r="P58">
        <f t="shared" ca="1" si="5"/>
        <v>-0.69835870360520325</v>
      </c>
      <c r="Q58">
        <f t="shared" ca="1" si="5"/>
        <v>-0.13870059972016069</v>
      </c>
      <c r="R58">
        <f t="shared" ca="1" si="5"/>
        <v>-0.18587106184220259</v>
      </c>
      <c r="S58">
        <f t="shared" ca="1" si="5"/>
        <v>-0.17808160581257981</v>
      </c>
      <c r="T58">
        <f t="shared" ca="1" si="5"/>
        <v>-0.14950062722263002</v>
      </c>
      <c r="U58">
        <f t="shared" ca="1" si="5"/>
        <v>6.4604783988591041E-2</v>
      </c>
      <c r="V58">
        <f t="shared" ca="1" si="5"/>
        <v>0.16982095312681844</v>
      </c>
      <c r="W58">
        <f t="shared" ca="1" si="5"/>
        <v>0.5327132975064699</v>
      </c>
      <c r="X58">
        <f t="shared" ca="1" si="5"/>
        <v>0.37477514474117468</v>
      </c>
      <c r="Y58">
        <f t="shared" ca="1" si="5"/>
        <v>-0.18328326439052844</v>
      </c>
      <c r="Z58">
        <f t="shared" ca="1" si="5"/>
        <v>-1.7343780276687149E-2</v>
      </c>
      <c r="AA58">
        <f t="shared" ca="1" si="5"/>
        <v>-0.26623468915241366</v>
      </c>
      <c r="AB58">
        <f t="shared" ca="1" si="5"/>
        <v>4.0417665841489203E-2</v>
      </c>
      <c r="AC58">
        <f t="shared" ca="1" si="5"/>
        <v>-0.24418497186292543</v>
      </c>
      <c r="AD58">
        <f t="shared" ca="1" si="5"/>
        <v>-0.35532056454275818</v>
      </c>
      <c r="AE58">
        <f t="shared" ca="1" si="5"/>
        <v>9.3748065662441871E-2</v>
      </c>
      <c r="AF58">
        <f t="shared" ca="1" si="5"/>
        <v>0.3434033172477573</v>
      </c>
    </row>
    <row r="59" spans="1:32" x14ac:dyDescent="0.25">
      <c r="C59">
        <f t="shared" ca="1" si="6"/>
        <v>-7.6107990732492414E-2</v>
      </c>
      <c r="D59">
        <f t="shared" ca="1" si="5"/>
        <v>0.35560949257465246</v>
      </c>
      <c r="E59">
        <f t="shared" ca="1" si="5"/>
        <v>-6.0700296447611102E-2</v>
      </c>
      <c r="F59">
        <f t="shared" ca="1" si="5"/>
        <v>-1.0810049841278424E-2</v>
      </c>
      <c r="G59">
        <f t="shared" ca="1" si="5"/>
        <v>0.16812711488055676</v>
      </c>
      <c r="H59">
        <f t="shared" ca="1" si="5"/>
        <v>-0.30566987639561383</v>
      </c>
      <c r="I59">
        <f t="shared" ca="1" si="5"/>
        <v>0.44926268842360928</v>
      </c>
      <c r="J59">
        <f t="shared" ca="1" si="5"/>
        <v>-0.10527785270448486</v>
      </c>
      <c r="K59">
        <f t="shared" ca="1" si="5"/>
        <v>0.47475579162608117</v>
      </c>
      <c r="L59">
        <f t="shared" ca="1" si="5"/>
        <v>-1.0018221431323582E-2</v>
      </c>
      <c r="M59">
        <f t="shared" ca="1" si="5"/>
        <v>-0.10760371468028485</v>
      </c>
      <c r="N59">
        <f t="shared" ca="1" si="5"/>
        <v>-0.2116209236526374</v>
      </c>
      <c r="O59">
        <f t="shared" ca="1" si="5"/>
        <v>5.0740699991308258E-2</v>
      </c>
      <c r="P59">
        <f t="shared" ca="1" si="5"/>
        <v>0.66483423214515236</v>
      </c>
      <c r="Q59">
        <f t="shared" ca="1" si="5"/>
        <v>0.3665198502951168</v>
      </c>
      <c r="R59">
        <f t="shared" ca="1" si="5"/>
        <v>-0.15693059958826883</v>
      </c>
      <c r="S59">
        <f t="shared" ca="1" si="5"/>
        <v>-5.1222104716321937E-3</v>
      </c>
      <c r="T59">
        <f t="shared" ca="1" si="5"/>
        <v>3.7871835138842513E-2</v>
      </c>
      <c r="U59">
        <f t="shared" ca="1" si="5"/>
        <v>7.2419490070003256E-2</v>
      </c>
      <c r="V59">
        <f t="shared" ca="1" si="5"/>
        <v>0.1269692779603</v>
      </c>
      <c r="W59">
        <f t="shared" ca="1" si="5"/>
        <v>0.40990487775852902</v>
      </c>
      <c r="X59">
        <f t="shared" ca="1" si="5"/>
        <v>-0.18108479765218499</v>
      </c>
      <c r="Y59">
        <f t="shared" ca="1" si="5"/>
        <v>0.65788927453598944</v>
      </c>
      <c r="Z59">
        <f t="shared" ca="1" si="5"/>
        <v>-8.2390940480761454E-2</v>
      </c>
      <c r="AA59">
        <f t="shared" ca="1" si="5"/>
        <v>-0.19375638069715118</v>
      </c>
      <c r="AB59">
        <f t="shared" ca="1" si="5"/>
        <v>-0.25352302460736098</v>
      </c>
      <c r="AC59">
        <f t="shared" ca="1" si="5"/>
        <v>-0.10721985321340011</v>
      </c>
      <c r="AD59">
        <f t="shared" ca="1" si="5"/>
        <v>0.36177719797502306</v>
      </c>
      <c r="AE59">
        <f t="shared" ca="1" si="5"/>
        <v>9.4775905745692057E-3</v>
      </c>
      <c r="AF59">
        <f t="shared" ca="1" si="5"/>
        <v>-0.12833329448373698</v>
      </c>
    </row>
    <row r="60" spans="1:32" x14ac:dyDescent="0.25">
      <c r="C60">
        <f t="shared" ca="1" si="6"/>
        <v>3.5158468397725073E-2</v>
      </c>
      <c r="D60">
        <f t="shared" ca="1" si="5"/>
        <v>-3.2011688539421268E-2</v>
      </c>
      <c r="E60">
        <f t="shared" ca="1" si="5"/>
        <v>0.43847736590285358</v>
      </c>
      <c r="F60">
        <f t="shared" ca="1" si="5"/>
        <v>-0.17491232127797129</v>
      </c>
      <c r="G60">
        <f t="shared" ca="1" si="5"/>
        <v>0.39643135903678939</v>
      </c>
      <c r="H60">
        <f t="shared" ca="1" si="5"/>
        <v>-8.6897240269445675E-4</v>
      </c>
      <c r="I60">
        <f t="shared" ca="1" si="5"/>
        <v>1.7746958163983972E-2</v>
      </c>
      <c r="J60">
        <f t="shared" ca="1" si="5"/>
        <v>0.12426595592296108</v>
      </c>
      <c r="K60">
        <f t="shared" ca="1" si="5"/>
        <v>-0.21424359277708405</v>
      </c>
      <c r="L60">
        <f t="shared" ca="1" si="5"/>
        <v>0.22092962198786692</v>
      </c>
      <c r="M60">
        <f t="shared" ca="1" si="5"/>
        <v>0.20020499834194272</v>
      </c>
      <c r="N60">
        <f t="shared" ca="1" si="5"/>
        <v>-6.1521412589008229E-2</v>
      </c>
      <c r="O60">
        <f t="shared" ca="1" si="5"/>
        <v>-0.40358737522520283</v>
      </c>
      <c r="P60">
        <f t="shared" ca="1" si="5"/>
        <v>-0.23786870269630445</v>
      </c>
      <c r="Q60">
        <f t="shared" ca="1" si="5"/>
        <v>0.2455854213121289</v>
      </c>
      <c r="R60">
        <f t="shared" ca="1" si="5"/>
        <v>8.3640385776115878E-3</v>
      </c>
      <c r="S60">
        <f t="shared" ca="1" si="5"/>
        <v>-5.2936445539743193E-2</v>
      </c>
      <c r="T60">
        <f t="shared" ca="1" si="5"/>
        <v>0.23672369440242269</v>
      </c>
      <c r="U60">
        <f t="shared" ca="1" si="5"/>
        <v>0.14268401792652075</v>
      </c>
      <c r="V60">
        <f t="shared" ca="1" si="5"/>
        <v>-0.18372910574560342</v>
      </c>
      <c r="W60">
        <f t="shared" ca="1" si="5"/>
        <v>-0.31878683185645373</v>
      </c>
      <c r="X60">
        <f t="shared" ca="1" si="5"/>
        <v>-2.2498293760563559E-2</v>
      </c>
      <c r="Y60">
        <f t="shared" ca="1" si="5"/>
        <v>-0.54838504716025405</v>
      </c>
      <c r="Z60">
        <f t="shared" ca="1" si="5"/>
        <v>-0.16800535996769161</v>
      </c>
      <c r="AA60">
        <f t="shared" ca="1" si="5"/>
        <v>-0.21166725269729936</v>
      </c>
      <c r="AB60">
        <f t="shared" ca="1" si="5"/>
        <v>0.14347758141178524</v>
      </c>
      <c r="AC60">
        <f t="shared" ca="1" si="5"/>
        <v>8.6387588460171472E-2</v>
      </c>
      <c r="AD60">
        <f t="shared" ca="1" si="5"/>
        <v>0.25660915850500743</v>
      </c>
      <c r="AE60">
        <f t="shared" ca="1" si="5"/>
        <v>0.37729060723170971</v>
      </c>
      <c r="AF60">
        <f t="shared" ca="1" si="5"/>
        <v>0.42930740930722422</v>
      </c>
    </row>
    <row r="61" spans="1:32" x14ac:dyDescent="0.25">
      <c r="C61">
        <f t="shared" ca="1" si="6"/>
        <v>7.1540878739918767E-2</v>
      </c>
      <c r="D61">
        <f t="shared" ca="1" si="5"/>
        <v>-0.30051172757506972</v>
      </c>
      <c r="E61">
        <f t="shared" ca="1" si="5"/>
        <v>-0.2379059660948446</v>
      </c>
      <c r="F61">
        <f t="shared" ca="1" si="5"/>
        <v>-0.70142470369456822</v>
      </c>
      <c r="G61">
        <f t="shared" ca="1" si="5"/>
        <v>-0.66649675374086836</v>
      </c>
      <c r="H61">
        <f t="shared" ca="1" si="5"/>
        <v>0.11156842289490054</v>
      </c>
      <c r="I61">
        <f t="shared" ca="1" si="5"/>
        <v>4.5521121228066619E-2</v>
      </c>
      <c r="J61">
        <f t="shared" ca="1" si="5"/>
        <v>0.61407069152197469</v>
      </c>
      <c r="K61">
        <f t="shared" ca="1" si="5"/>
        <v>0.26140297875234531</v>
      </c>
      <c r="L61">
        <f t="shared" ca="1" si="5"/>
        <v>-0.11900346332084588</v>
      </c>
      <c r="M61">
        <f t="shared" ca="1" si="5"/>
        <v>-5.2431339420871304E-2</v>
      </c>
      <c r="N61">
        <f t="shared" ca="1" si="5"/>
        <v>0.25530805838729131</v>
      </c>
      <c r="O61">
        <f t="shared" ca="1" si="5"/>
        <v>0.37019113998142839</v>
      </c>
      <c r="P61">
        <f t="shared" ca="1" si="5"/>
        <v>-0.13520309303028499</v>
      </c>
      <c r="Q61">
        <f t="shared" ca="1" si="5"/>
        <v>0.56905634461983512</v>
      </c>
      <c r="R61">
        <f t="shared" ca="1" si="5"/>
        <v>-4.710537731351927E-2</v>
      </c>
      <c r="S61">
        <f t="shared" ca="1" si="5"/>
        <v>0.13706710456650395</v>
      </c>
      <c r="T61">
        <f t="shared" ca="1" si="5"/>
        <v>-0.29336944229701745</v>
      </c>
      <c r="U61">
        <f t="shared" ca="1" si="5"/>
        <v>-0.31029734131014886</v>
      </c>
      <c r="V61">
        <f t="shared" ca="1" si="5"/>
        <v>-0.32673858716470372</v>
      </c>
      <c r="W61">
        <f t="shared" ca="1" si="5"/>
        <v>-0.22842935839599043</v>
      </c>
      <c r="X61">
        <f t="shared" ca="1" si="5"/>
        <v>0.2097653470394234</v>
      </c>
      <c r="Y61">
        <f t="shared" ca="1" si="5"/>
        <v>2.9944864929794868E-2</v>
      </c>
      <c r="Z61">
        <f t="shared" ca="1" si="5"/>
        <v>-0.3358567206321319</v>
      </c>
      <c r="AA61">
        <f t="shared" ca="1" si="5"/>
        <v>0.3439011852507381</v>
      </c>
      <c r="AB61">
        <f t="shared" ca="1" si="5"/>
        <v>-0.67643222171811512</v>
      </c>
      <c r="AC61">
        <f t="shared" ca="1" si="5"/>
        <v>-7.6220126591367787E-2</v>
      </c>
      <c r="AD61">
        <f t="shared" ca="1" si="5"/>
        <v>0.15265004904738522</v>
      </c>
      <c r="AE61">
        <f t="shared" ca="1" si="5"/>
        <v>-0.30996971457577782</v>
      </c>
      <c r="AF61">
        <f t="shared" ca="1" si="5"/>
        <v>1.7489403778856438E-2</v>
      </c>
    </row>
    <row r="62" spans="1:32" x14ac:dyDescent="0.25">
      <c r="C62">
        <f t="shared" ca="1" si="6"/>
        <v>0.11798707785984686</v>
      </c>
      <c r="D62">
        <f t="shared" ca="1" si="5"/>
        <v>0.13505134645050587</v>
      </c>
      <c r="E62">
        <f t="shared" ca="1" si="5"/>
        <v>-5.5079100588879548E-3</v>
      </c>
      <c r="F62">
        <f t="shared" ca="1" si="5"/>
        <v>0.27160511094862683</v>
      </c>
      <c r="G62">
        <f t="shared" ca="1" si="5"/>
        <v>0.19095727730119316</v>
      </c>
      <c r="H62">
        <f t="shared" ca="1" si="5"/>
        <v>3.2425560993159408E-2</v>
      </c>
      <c r="I62">
        <f t="shared" ca="1" si="5"/>
        <v>-3.6070892086016215E-2</v>
      </c>
      <c r="J62">
        <f t="shared" ca="1" si="5"/>
        <v>0.11437222937951264</v>
      </c>
      <c r="K62">
        <f t="shared" ca="1" si="5"/>
        <v>-3.8319292859942511E-2</v>
      </c>
      <c r="L62">
        <f t="shared" ca="1" si="5"/>
        <v>0.33141791380789476</v>
      </c>
      <c r="M62">
        <f t="shared" ref="D62:AF64" ca="1" si="7">M46-(M$50+M$51*$B46)</f>
        <v>0.40412603600736974</v>
      </c>
      <c r="N62">
        <f t="shared" ca="1" si="7"/>
        <v>0.17359980020498611</v>
      </c>
      <c r="O62">
        <f t="shared" ca="1" si="7"/>
        <v>0.19609179618637063</v>
      </c>
      <c r="P62">
        <f t="shared" ca="1" si="7"/>
        <v>-0.22535469734819724</v>
      </c>
      <c r="Q62">
        <f t="shared" ca="1" si="7"/>
        <v>-7.1371421977152405E-2</v>
      </c>
      <c r="R62">
        <f t="shared" ca="1" si="7"/>
        <v>0.24987137361223732</v>
      </c>
      <c r="S62">
        <f t="shared" ca="1" si="7"/>
        <v>-0.33168808955355855</v>
      </c>
      <c r="T62">
        <f t="shared" ca="1" si="7"/>
        <v>-0.6091298240953904</v>
      </c>
      <c r="U62">
        <f t="shared" ca="1" si="7"/>
        <v>-0.27451082892536949</v>
      </c>
      <c r="V62">
        <f t="shared" ca="1" si="7"/>
        <v>0.48907858197469745</v>
      </c>
      <c r="W62">
        <f t="shared" ca="1" si="7"/>
        <v>0.21864527444567372</v>
      </c>
      <c r="X62">
        <f t="shared" ca="1" si="7"/>
        <v>-0.24599204881889403</v>
      </c>
      <c r="Y62">
        <f t="shared" ca="1" si="7"/>
        <v>-0.38375582489148607</v>
      </c>
      <c r="Z62">
        <f t="shared" ca="1" si="7"/>
        <v>9.1087879919160564E-2</v>
      </c>
      <c r="AA62">
        <f t="shared" ca="1" si="7"/>
        <v>0.1667505202288333</v>
      </c>
      <c r="AB62">
        <f t="shared" ca="1" si="7"/>
        <v>-0.13348299738667535</v>
      </c>
      <c r="AC62">
        <f t="shared" ca="1" si="7"/>
        <v>0.41169646426703466</v>
      </c>
      <c r="AD62">
        <f t="shared" ca="1" si="7"/>
        <v>-5.2869462680760204E-2</v>
      </c>
      <c r="AE62">
        <f t="shared" ca="1" si="7"/>
        <v>2.8094073433782452E-2</v>
      </c>
      <c r="AF62">
        <f t="shared" ca="1" si="7"/>
        <v>-0.22177179837349348</v>
      </c>
    </row>
    <row r="63" spans="1:32" x14ac:dyDescent="0.25">
      <c r="C63">
        <f t="shared" ca="1" si="6"/>
        <v>-0.24413510124015092</v>
      </c>
      <c r="D63">
        <f t="shared" ca="1" si="7"/>
        <v>0.1373018323368318</v>
      </c>
      <c r="E63">
        <f t="shared" ca="1" si="7"/>
        <v>0.25691914714694919</v>
      </c>
      <c r="F63">
        <f t="shared" ca="1" si="7"/>
        <v>0.24199804050948392</v>
      </c>
      <c r="G63">
        <f t="shared" ca="1" si="7"/>
        <v>-0.15235358538764388</v>
      </c>
      <c r="H63">
        <f t="shared" ca="1" si="7"/>
        <v>0.45186943989475603</v>
      </c>
      <c r="I63">
        <f t="shared" ca="1" si="7"/>
        <v>-4.9410461082345147E-2</v>
      </c>
      <c r="J63">
        <f t="shared" ca="1" si="7"/>
        <v>-0.31167267542072397</v>
      </c>
      <c r="K63">
        <f t="shared" ca="1" si="7"/>
        <v>-0.15211734648340691</v>
      </c>
      <c r="L63">
        <f t="shared" ca="1" si="7"/>
        <v>-0.31102300697690977</v>
      </c>
      <c r="M63">
        <f t="shared" ca="1" si="7"/>
        <v>-0.11365213608712654</v>
      </c>
      <c r="N63">
        <f t="shared" ca="1" si="7"/>
        <v>-0.50688225002757203</v>
      </c>
      <c r="O63">
        <f t="shared" ca="1" si="7"/>
        <v>-0.20005674395511619</v>
      </c>
      <c r="P63">
        <f t="shared" ca="1" si="7"/>
        <v>2.9207705518675464E-2</v>
      </c>
      <c r="Q63">
        <f t="shared" ca="1" si="7"/>
        <v>0.33606635819103747</v>
      </c>
      <c r="R63">
        <f t="shared" ca="1" si="7"/>
        <v>0.24709300526787237</v>
      </c>
      <c r="S63">
        <f t="shared" ca="1" si="7"/>
        <v>0.75207339794846817</v>
      </c>
      <c r="T63">
        <f t="shared" ca="1" si="7"/>
        <v>0.33175181912086016</v>
      </c>
      <c r="U63">
        <f t="shared" ca="1" si="7"/>
        <v>0.16710513941996785</v>
      </c>
      <c r="V63">
        <f t="shared" ca="1" si="7"/>
        <v>-0.2166805740271478</v>
      </c>
      <c r="W63">
        <f t="shared" ca="1" si="7"/>
        <v>-0.16048075110319937</v>
      </c>
      <c r="X63">
        <f t="shared" ca="1" si="7"/>
        <v>0.14250951274604784</v>
      </c>
      <c r="Y63">
        <f t="shared" ca="1" si="7"/>
        <v>0.33401813810506242</v>
      </c>
      <c r="Z63">
        <f t="shared" ca="1" si="7"/>
        <v>0.34594786211695405</v>
      </c>
      <c r="AA63">
        <f t="shared" ca="1" si="7"/>
        <v>-0.33816727973696015</v>
      </c>
      <c r="AB63">
        <f t="shared" ca="1" si="7"/>
        <v>4.3295911572174273E-2</v>
      </c>
      <c r="AC63">
        <f t="shared" ca="1" si="7"/>
        <v>0.156504611334773</v>
      </c>
      <c r="AD63">
        <f t="shared" ca="1" si="7"/>
        <v>-0.47702632712263471</v>
      </c>
      <c r="AE63">
        <f t="shared" ca="1" si="7"/>
        <v>-0.22995978007250883</v>
      </c>
      <c r="AF63">
        <f t="shared" ca="1" si="7"/>
        <v>-0.13702143566215286</v>
      </c>
    </row>
    <row r="64" spans="1:32" x14ac:dyDescent="0.25">
      <c r="C64">
        <f t="shared" ca="1" si="6"/>
        <v>-3.9613018602306038E-2</v>
      </c>
      <c r="D64">
        <f t="shared" ca="1" si="7"/>
        <v>-0.44024125153396421</v>
      </c>
      <c r="E64">
        <f t="shared" ca="1" si="7"/>
        <v>-0.35907808018873544</v>
      </c>
      <c r="F64">
        <f t="shared" ca="1" si="7"/>
        <v>0.13509912535330804</v>
      </c>
      <c r="G64">
        <f t="shared" ca="1" si="7"/>
        <v>-3.3574645176228657E-2</v>
      </c>
      <c r="H64">
        <f t="shared" ca="1" si="7"/>
        <v>-6.2146512010141652E-2</v>
      </c>
      <c r="I64">
        <f t="shared" ca="1" si="7"/>
        <v>9.5706615488190483E-2</v>
      </c>
      <c r="J64">
        <f t="shared" ca="1" si="7"/>
        <v>-0.10216877569073501</v>
      </c>
      <c r="K64">
        <f t="shared" ca="1" si="7"/>
        <v>-0.18142157333617259</v>
      </c>
      <c r="L64">
        <f t="shared" ca="1" si="7"/>
        <v>-0.18222205240861955</v>
      </c>
      <c r="M64">
        <f t="shared" ca="1" si="7"/>
        <v>-0.28992979511842565</v>
      </c>
      <c r="N64">
        <f t="shared" ca="1" si="7"/>
        <v>0.14823049702145408</v>
      </c>
      <c r="O64">
        <f t="shared" ca="1" si="7"/>
        <v>2.9866522449477628E-3</v>
      </c>
      <c r="P64">
        <f t="shared" ca="1" si="7"/>
        <v>0.16204169649259814</v>
      </c>
      <c r="Q64">
        <f t="shared" ca="1" si="7"/>
        <v>-0.72435913005542041</v>
      </c>
      <c r="R64">
        <f t="shared" ca="1" si="7"/>
        <v>-0.3465375709798848</v>
      </c>
      <c r="S64">
        <f t="shared" ca="1" si="7"/>
        <v>-0.28756302088162489</v>
      </c>
      <c r="T64">
        <f t="shared" ca="1" si="7"/>
        <v>0.14799341004104383</v>
      </c>
      <c r="U64">
        <f t="shared" ca="1" si="7"/>
        <v>9.9087806826099634E-2</v>
      </c>
      <c r="V64">
        <f t="shared" ca="1" si="7"/>
        <v>6.8421032156348982E-2</v>
      </c>
      <c r="W64">
        <f t="shared" ca="1" si="7"/>
        <v>-0.10473891847286287</v>
      </c>
      <c r="X64">
        <f t="shared" ca="1" si="7"/>
        <v>4.2704136383710622E-2</v>
      </c>
      <c r="Y64">
        <f t="shared" ca="1" si="7"/>
        <v>0.12264275014472092</v>
      </c>
      <c r="Z64">
        <f t="shared" ca="1" si="7"/>
        <v>-0.2123134161764364</v>
      </c>
      <c r="AA64">
        <f t="shared" ca="1" si="7"/>
        <v>0.30431375266820648</v>
      </c>
      <c r="AB64">
        <f t="shared" ca="1" si="7"/>
        <v>0.54393672916177493</v>
      </c>
      <c r="AC64">
        <f t="shared" ca="1" si="7"/>
        <v>-0.37893831110422971</v>
      </c>
      <c r="AD64">
        <f t="shared" ca="1" si="7"/>
        <v>-6.0430557414565378E-2</v>
      </c>
      <c r="AE64">
        <f t="shared" ca="1" si="7"/>
        <v>4.8466126994101355E-2</v>
      </c>
      <c r="AF64">
        <f t="shared" ca="1" si="7"/>
        <v>0.12903445411973591</v>
      </c>
    </row>
    <row r="66" spans="1:32" x14ac:dyDescent="0.25">
      <c r="A66" t="s">
        <v>246</v>
      </c>
      <c r="C66">
        <f ca="1">VAR(C53:C64)</f>
        <v>6.3311678040426797E-2</v>
      </c>
      <c r="D66">
        <f t="shared" ref="D66:AF66" ca="1" si="8">VAR(D53:D64)</f>
        <v>0.11844811984329451</v>
      </c>
      <c r="E66">
        <f t="shared" ca="1" si="8"/>
        <v>8.4286453293948627E-2</v>
      </c>
      <c r="F66">
        <f t="shared" ca="1" si="8"/>
        <v>0.10718443843530306</v>
      </c>
      <c r="G66">
        <f t="shared" ca="1" si="8"/>
        <v>0.21748554663994171</v>
      </c>
      <c r="H66">
        <f t="shared" ca="1" si="8"/>
        <v>9.6117065118766026E-2</v>
      </c>
      <c r="I66">
        <f t="shared" ca="1" si="8"/>
        <v>8.7612038422701474E-2</v>
      </c>
      <c r="J66">
        <f t="shared" ca="1" si="8"/>
        <v>0.14668317978605802</v>
      </c>
      <c r="K66">
        <f t="shared" ca="1" si="8"/>
        <v>5.4645812708035459E-2</v>
      </c>
      <c r="L66">
        <f t="shared" ca="1" si="8"/>
        <v>7.634601027541249E-2</v>
      </c>
      <c r="M66">
        <f t="shared" ca="1" si="8"/>
        <v>3.2817580018596047E-2</v>
      </c>
      <c r="N66">
        <f t="shared" ca="1" si="8"/>
        <v>9.4246377741841872E-2</v>
      </c>
      <c r="O66">
        <f t="shared" ca="1" si="8"/>
        <v>6.0051700846859617E-2</v>
      </c>
      <c r="P66">
        <f t="shared" ca="1" si="8"/>
        <v>0.13607924657836817</v>
      </c>
      <c r="Q66">
        <f t="shared" ca="1" si="8"/>
        <v>0.14758462569628253</v>
      </c>
      <c r="R66">
        <f t="shared" ca="1" si="8"/>
        <v>5.5379372958319732E-2</v>
      </c>
      <c r="S66">
        <f t="shared" ca="1" si="8"/>
        <v>0.13594938762952094</v>
      </c>
      <c r="T66">
        <f t="shared" ca="1" si="8"/>
        <v>9.7428984688704923E-2</v>
      </c>
      <c r="U66">
        <f t="shared" ca="1" si="8"/>
        <v>2.8765244470266873E-2</v>
      </c>
      <c r="V66">
        <f t="shared" ca="1" si="8"/>
        <v>8.4890789174087752E-2</v>
      </c>
      <c r="W66">
        <f t="shared" ca="1" si="8"/>
        <v>7.9949391488384633E-2</v>
      </c>
      <c r="X66">
        <f t="shared" ca="1" si="8"/>
        <v>3.2833638751466158E-2</v>
      </c>
      <c r="Y66">
        <f t="shared" ca="1" si="8"/>
        <v>0.12535337214659481</v>
      </c>
      <c r="Z66">
        <f t="shared" ca="1" si="8"/>
        <v>9.1032171767971945E-2</v>
      </c>
      <c r="AA66">
        <f t="shared" ca="1" si="8"/>
        <v>5.3953257504240175E-2</v>
      </c>
      <c r="AB66">
        <f t="shared" ca="1" si="8"/>
        <v>0.12217214325252188</v>
      </c>
      <c r="AC66">
        <f t="shared" ca="1" si="8"/>
        <v>6.2076383216620575E-2</v>
      </c>
      <c r="AD66">
        <f t="shared" ca="1" si="8"/>
        <v>0.10178670088667897</v>
      </c>
      <c r="AE66">
        <f t="shared" ca="1" si="8"/>
        <v>4.5007328474166088E-2</v>
      </c>
      <c r="AF66">
        <f t="shared" ca="1" si="8"/>
        <v>9.4516251004468449E-2</v>
      </c>
    </row>
    <row r="67" spans="1:32" x14ac:dyDescent="0.25">
      <c r="A67" t="s">
        <v>247</v>
      </c>
      <c r="C67">
        <f ca="1">SUMSQ(C53:C64)/(COUNT(C53:C64)-2)</f>
        <v>6.9642845844469475E-2</v>
      </c>
      <c r="D67">
        <f t="shared" ref="D67:AF67" ca="1" si="9">SUMSQ(D53:D64)/(COUNT(D53:D64)-2)</f>
        <v>0.13029293182762397</v>
      </c>
      <c r="E67">
        <f t="shared" ca="1" si="9"/>
        <v>9.2715098623343484E-2</v>
      </c>
      <c r="F67">
        <f t="shared" ca="1" si="9"/>
        <v>0.11790288227883336</v>
      </c>
      <c r="G67">
        <f t="shared" ca="1" si="9"/>
        <v>0.23923410130393591</v>
      </c>
      <c r="H67">
        <f t="shared" ca="1" si="9"/>
        <v>0.10572877163064262</v>
      </c>
      <c r="I67">
        <f t="shared" ca="1" si="9"/>
        <v>9.6373242264971626E-2</v>
      </c>
      <c r="J67">
        <f t="shared" ca="1" si="9"/>
        <v>0.16135149776466381</v>
      </c>
      <c r="K67">
        <f t="shared" ca="1" si="9"/>
        <v>6.0110393978839008E-2</v>
      </c>
      <c r="L67">
        <f t="shared" ca="1" si="9"/>
        <v>8.3980611302953742E-2</v>
      </c>
      <c r="M67">
        <f t="shared" ca="1" si="9"/>
        <v>3.6099338020455653E-2</v>
      </c>
      <c r="N67">
        <f t="shared" ca="1" si="9"/>
        <v>0.10367101551602606</v>
      </c>
      <c r="O67">
        <f t="shared" ca="1" si="9"/>
        <v>6.605687093154558E-2</v>
      </c>
      <c r="P67">
        <f t="shared" ca="1" si="9"/>
        <v>0.14968717123620498</v>
      </c>
      <c r="Q67">
        <f t="shared" ca="1" si="9"/>
        <v>0.16234308826591079</v>
      </c>
      <c r="R67">
        <f t="shared" ca="1" si="9"/>
        <v>6.0917310254151702E-2</v>
      </c>
      <c r="S67">
        <f t="shared" ca="1" si="9"/>
        <v>0.14954432639247303</v>
      </c>
      <c r="T67">
        <f t="shared" ca="1" si="9"/>
        <v>0.10717188315757542</v>
      </c>
      <c r="U67">
        <f t="shared" ca="1" si="9"/>
        <v>3.1641768917293561E-2</v>
      </c>
      <c r="V67">
        <f t="shared" ca="1" si="9"/>
        <v>9.3379868091496537E-2</v>
      </c>
      <c r="W67">
        <f t="shared" ca="1" si="9"/>
        <v>8.7944330637223095E-2</v>
      </c>
      <c r="X67">
        <f t="shared" ca="1" si="9"/>
        <v>3.6117002626612771E-2</v>
      </c>
      <c r="Y67">
        <f t="shared" ca="1" si="9"/>
        <v>0.1378887093612543</v>
      </c>
      <c r="Z67">
        <f t="shared" ca="1" si="9"/>
        <v>0.10013538894476914</v>
      </c>
      <c r="AA67">
        <f t="shared" ca="1" si="9"/>
        <v>5.9348583254664189E-2</v>
      </c>
      <c r="AB67">
        <f t="shared" ca="1" si="9"/>
        <v>0.13438935757777407</v>
      </c>
      <c r="AC67">
        <f t="shared" ca="1" si="9"/>
        <v>6.8284021538282641E-2</v>
      </c>
      <c r="AD67">
        <f t="shared" ca="1" si="9"/>
        <v>0.11196537097534687</v>
      </c>
      <c r="AE67">
        <f t="shared" ca="1" si="9"/>
        <v>4.9508061321582697E-2</v>
      </c>
      <c r="AF67">
        <f t="shared" ca="1" si="9"/>
        <v>0.10396787610491529</v>
      </c>
    </row>
    <row r="71" spans="1:32" x14ac:dyDescent="0.25">
      <c r="A71" t="s">
        <v>243</v>
      </c>
    </row>
    <row r="72" spans="1:32" x14ac:dyDescent="0.25">
      <c r="D72" t="s">
        <v>244</v>
      </c>
      <c r="H72" t="s">
        <v>248</v>
      </c>
    </row>
    <row r="73" spans="1:32" x14ac:dyDescent="0.25">
      <c r="C73" t="s">
        <v>245</v>
      </c>
      <c r="D73">
        <f ca="1">AVERAGE(C66:AF66)</f>
        <v>9.113314302866167E-2</v>
      </c>
      <c r="E73" t="s">
        <v>606</v>
      </c>
      <c r="H73" t="str">
        <f ca="1">IF(ABS(D73-C74)&lt;ABS(D74-C74),"winner","loser")</f>
        <v>winner</v>
      </c>
    </row>
    <row r="74" spans="1:32" x14ac:dyDescent="0.25">
      <c r="C74" s="58">
        <f>C26^2</f>
        <v>0.09</v>
      </c>
      <c r="D74">
        <f ca="1">AVERAGE(C67:AF67)</f>
        <v>0.10024645733152784</v>
      </c>
      <c r="E74" t="s">
        <v>247</v>
      </c>
      <c r="H74" t="str">
        <f ca="1">IF(ABS(D73-C74)&gt;ABS(D74-C74),"winner","loser")</f>
        <v>loser</v>
      </c>
    </row>
    <row r="75" spans="1:32" x14ac:dyDescent="0.25">
      <c r="D75" t="s">
        <v>605</v>
      </c>
      <c r="J75" t="s">
        <v>536</v>
      </c>
    </row>
    <row r="76" spans="1:32" x14ac:dyDescent="0.25">
      <c r="B76" s="59" t="s">
        <v>534</v>
      </c>
      <c r="C76" s="58">
        <f>C28</f>
        <v>2</v>
      </c>
      <c r="D76">
        <f ca="1">AVERAGE(C50:AF50)</f>
        <v>2.0497956145100806</v>
      </c>
      <c r="J76" t="s">
        <v>59</v>
      </c>
    </row>
    <row r="77" spans="1:32" x14ac:dyDescent="0.25">
      <c r="B77" s="59" t="s">
        <v>535</v>
      </c>
      <c r="C77" s="58">
        <f>C29</f>
        <v>0.01</v>
      </c>
      <c r="D77">
        <f ca="1">AVERAGE(C51:AF51)</f>
        <v>9.3084194579534374E-3</v>
      </c>
    </row>
    <row r="81" spans="3:32" x14ac:dyDescent="0.25">
      <c r="C81" t="s">
        <v>592</v>
      </c>
    </row>
    <row r="82" spans="3:32" x14ac:dyDescent="0.25">
      <c r="C82">
        <v>1</v>
      </c>
      <c r="D82">
        <v>1</v>
      </c>
      <c r="E82">
        <v>1</v>
      </c>
      <c r="F82">
        <v>1</v>
      </c>
      <c r="G82">
        <v>1</v>
      </c>
      <c r="H82">
        <v>1</v>
      </c>
      <c r="I82">
        <v>1</v>
      </c>
      <c r="J82">
        <v>1</v>
      </c>
      <c r="K82">
        <v>1</v>
      </c>
      <c r="L82">
        <v>1</v>
      </c>
      <c r="M82">
        <v>1</v>
      </c>
      <c r="N82">
        <v>1</v>
      </c>
      <c r="O82">
        <v>1</v>
      </c>
      <c r="P82">
        <v>1</v>
      </c>
      <c r="Q82">
        <v>1</v>
      </c>
      <c r="R82">
        <v>1</v>
      </c>
      <c r="S82">
        <v>1</v>
      </c>
      <c r="T82">
        <v>1</v>
      </c>
      <c r="U82">
        <v>1</v>
      </c>
      <c r="V82">
        <v>1</v>
      </c>
      <c r="W82">
        <v>1</v>
      </c>
      <c r="X82">
        <v>1</v>
      </c>
      <c r="Y82">
        <v>1</v>
      </c>
      <c r="Z82">
        <v>1</v>
      </c>
      <c r="AA82">
        <v>1</v>
      </c>
      <c r="AB82">
        <v>1</v>
      </c>
      <c r="AC82">
        <v>1</v>
      </c>
      <c r="AD82">
        <v>1</v>
      </c>
      <c r="AE82">
        <v>1</v>
      </c>
      <c r="AF82">
        <v>1</v>
      </c>
    </row>
    <row r="84" spans="3:32" x14ac:dyDescent="0.25">
      <c r="C84" t="s">
        <v>593</v>
      </c>
    </row>
    <row r="85" spans="3:32" x14ac:dyDescent="0.25">
      <c r="C85">
        <v>0.5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workbookViewId="0">
      <selection activeCell="H1" sqref="H1"/>
    </sheetView>
  </sheetViews>
  <sheetFormatPr defaultRowHeight="15" x14ac:dyDescent="0.25"/>
  <cols>
    <col min="7" max="7" width="17" customWidth="1"/>
    <col min="8" max="8" width="12.42578125" customWidth="1"/>
  </cols>
  <sheetData>
    <row r="1" spans="1:16" ht="18" thickBot="1" x14ac:dyDescent="0.35">
      <c r="A1" s="54" t="s">
        <v>607</v>
      </c>
      <c r="P1" t="s">
        <v>344</v>
      </c>
    </row>
    <row r="2" spans="1:16" ht="15.75" thickTop="1" x14ac:dyDescent="0.25">
      <c r="A2" t="s">
        <v>833</v>
      </c>
    </row>
    <row r="3" spans="1:16" ht="31.5" x14ac:dyDescent="0.5">
      <c r="A3" s="38" t="s">
        <v>616</v>
      </c>
    </row>
    <row r="4" spans="1:16" x14ac:dyDescent="0.25">
      <c r="A4" t="s">
        <v>617</v>
      </c>
    </row>
    <row r="6" spans="1:16" x14ac:dyDescent="0.25">
      <c r="A6" t="s">
        <v>258</v>
      </c>
    </row>
    <row r="7" spans="1:16" x14ac:dyDescent="0.25">
      <c r="A7" s="10"/>
    </row>
    <row r="9" spans="1:16" x14ac:dyDescent="0.25">
      <c r="A9" t="s">
        <v>253</v>
      </c>
    </row>
    <row r="10" spans="1:16" x14ac:dyDescent="0.25">
      <c r="A10" t="s">
        <v>254</v>
      </c>
    </row>
    <row r="11" spans="1:16" x14ac:dyDescent="0.25">
      <c r="A11" t="s">
        <v>255</v>
      </c>
      <c r="B11" s="10"/>
    </row>
    <row r="12" spans="1:16" x14ac:dyDescent="0.25">
      <c r="A12" t="s">
        <v>256</v>
      </c>
    </row>
    <row r="13" spans="1:16" x14ac:dyDescent="0.25">
      <c r="A13" t="s">
        <v>257</v>
      </c>
      <c r="B13" s="10"/>
    </row>
    <row r="15" spans="1:16" x14ac:dyDescent="0.25">
      <c r="A15" t="s">
        <v>259</v>
      </c>
    </row>
    <row r="16" spans="1:16" x14ac:dyDescent="0.25">
      <c r="A16" t="s">
        <v>260</v>
      </c>
    </row>
    <row r="17" spans="1:9" x14ac:dyDescent="0.25">
      <c r="A17" t="s">
        <v>608</v>
      </c>
    </row>
    <row r="18" spans="1:9" x14ac:dyDescent="0.25">
      <c r="A18" t="s">
        <v>491</v>
      </c>
    </row>
    <row r="19" spans="1:9" x14ac:dyDescent="0.25">
      <c r="A19" t="s">
        <v>492</v>
      </c>
    </row>
    <row r="20" spans="1:9" x14ac:dyDescent="0.25">
      <c r="A20" t="s">
        <v>493</v>
      </c>
    </row>
    <row r="21" spans="1:9" x14ac:dyDescent="0.25">
      <c r="A21" t="s">
        <v>294</v>
      </c>
    </row>
    <row r="22" spans="1:9" x14ac:dyDescent="0.25">
      <c r="E22" t="s">
        <v>261</v>
      </c>
    </row>
    <row r="24" spans="1:9" x14ac:dyDescent="0.25">
      <c r="A24" t="s">
        <v>78</v>
      </c>
      <c r="B24" t="s">
        <v>74</v>
      </c>
      <c r="C24" t="s">
        <v>75</v>
      </c>
      <c r="G24" t="s">
        <v>262</v>
      </c>
    </row>
    <row r="25" spans="1:9" ht="15.75" thickBot="1" x14ac:dyDescent="0.3">
      <c r="A25" t="s">
        <v>62</v>
      </c>
      <c r="B25">
        <v>576</v>
      </c>
      <c r="C25" s="13">
        <v>178</v>
      </c>
    </row>
    <row r="26" spans="1:9" x14ac:dyDescent="0.25">
      <c r="A26" t="s">
        <v>63</v>
      </c>
      <c r="B26">
        <v>370</v>
      </c>
      <c r="C26" s="13">
        <v>138</v>
      </c>
      <c r="G26" s="42" t="s">
        <v>263</v>
      </c>
      <c r="H26" s="42"/>
    </row>
    <row r="27" spans="1:9" x14ac:dyDescent="0.25">
      <c r="A27" t="s">
        <v>64</v>
      </c>
      <c r="B27">
        <v>612</v>
      </c>
      <c r="C27" s="13">
        <v>94</v>
      </c>
      <c r="G27" s="39" t="s">
        <v>264</v>
      </c>
      <c r="H27" s="39">
        <v>0.79498549858235834</v>
      </c>
    </row>
    <row r="28" spans="1:9" x14ac:dyDescent="0.25">
      <c r="A28" t="s">
        <v>65</v>
      </c>
      <c r="B28">
        <v>1216</v>
      </c>
      <c r="C28" s="13">
        <v>278</v>
      </c>
      <c r="G28" s="39" t="s">
        <v>265</v>
      </c>
      <c r="H28" s="39">
        <v>0.6320019429562409</v>
      </c>
      <c r="I28" s="44" t="s">
        <v>292</v>
      </c>
    </row>
    <row r="29" spans="1:9" x14ac:dyDescent="0.25">
      <c r="A29" t="s">
        <v>66</v>
      </c>
      <c r="B29">
        <v>409</v>
      </c>
      <c r="C29" s="13">
        <v>158</v>
      </c>
      <c r="G29" s="39" t="s">
        <v>266</v>
      </c>
      <c r="H29" s="39">
        <v>0.59520213725186499</v>
      </c>
      <c r="I29" s="44" t="s">
        <v>609</v>
      </c>
    </row>
    <row r="30" spans="1:9" x14ac:dyDescent="0.25">
      <c r="A30" t="s">
        <v>67</v>
      </c>
      <c r="B30">
        <v>1502</v>
      </c>
      <c r="C30" s="13">
        <v>258</v>
      </c>
      <c r="G30" s="39" t="s">
        <v>267</v>
      </c>
      <c r="H30" s="39">
        <v>37.827024447513359</v>
      </c>
      <c r="I30" s="44" t="s">
        <v>293</v>
      </c>
    </row>
    <row r="31" spans="1:9" ht="15.75" thickBot="1" x14ac:dyDescent="0.3">
      <c r="A31" t="s">
        <v>68</v>
      </c>
      <c r="B31">
        <v>946</v>
      </c>
      <c r="C31" s="13">
        <v>198</v>
      </c>
      <c r="G31" s="40" t="s">
        <v>268</v>
      </c>
      <c r="H31" s="40">
        <v>12</v>
      </c>
    </row>
    <row r="32" spans="1:9" x14ac:dyDescent="0.25">
      <c r="A32" t="s">
        <v>69</v>
      </c>
      <c r="B32">
        <v>998</v>
      </c>
      <c r="C32" s="13">
        <v>188</v>
      </c>
    </row>
    <row r="33" spans="1:15" ht="15.75" thickBot="1" x14ac:dyDescent="0.3">
      <c r="A33" t="s">
        <v>70</v>
      </c>
      <c r="B33">
        <v>189</v>
      </c>
      <c r="C33" s="13">
        <v>98</v>
      </c>
      <c r="G33" t="s">
        <v>269</v>
      </c>
      <c r="H33" s="44" t="s">
        <v>610</v>
      </c>
      <c r="I33" s="44"/>
    </row>
    <row r="34" spans="1:15" x14ac:dyDescent="0.25">
      <c r="A34" t="s">
        <v>71</v>
      </c>
      <c r="B34">
        <v>787</v>
      </c>
      <c r="C34" s="13">
        <v>179</v>
      </c>
      <c r="G34" s="41"/>
      <c r="H34" s="41" t="s">
        <v>274</v>
      </c>
      <c r="I34" s="41" t="s">
        <v>275</v>
      </c>
      <c r="J34" s="41" t="s">
        <v>276</v>
      </c>
      <c r="K34" s="41" t="s">
        <v>277</v>
      </c>
      <c r="L34" s="41" t="s">
        <v>278</v>
      </c>
    </row>
    <row r="35" spans="1:15" x14ac:dyDescent="0.25">
      <c r="A35" t="s">
        <v>72</v>
      </c>
      <c r="B35">
        <v>210</v>
      </c>
      <c r="C35" s="13">
        <v>138</v>
      </c>
      <c r="G35" s="39" t="s">
        <v>270</v>
      </c>
      <c r="H35" s="39">
        <v>1</v>
      </c>
      <c r="I35" s="39">
        <v>24574.078881138939</v>
      </c>
      <c r="J35" s="39">
        <v>24574.078881138939</v>
      </c>
      <c r="K35" s="39">
        <v>17.174056516311683</v>
      </c>
      <c r="L35" s="39">
        <v>1.9985375781839633E-3</v>
      </c>
    </row>
    <row r="36" spans="1:15" x14ac:dyDescent="0.25">
      <c r="A36" t="s">
        <v>73</v>
      </c>
      <c r="B36">
        <v>737</v>
      </c>
      <c r="C36" s="13">
        <v>98</v>
      </c>
      <c r="G36" s="39" t="s">
        <v>271</v>
      </c>
      <c r="H36" s="39">
        <v>10</v>
      </c>
      <c r="I36" s="39">
        <v>14308.837785527732</v>
      </c>
      <c r="J36" s="39">
        <v>1430.8837785527733</v>
      </c>
      <c r="K36" s="39"/>
      <c r="L36" s="39"/>
    </row>
    <row r="37" spans="1:15" ht="15.75" thickBot="1" x14ac:dyDescent="0.3">
      <c r="G37" s="40" t="s">
        <v>272</v>
      </c>
      <c r="H37" s="40">
        <v>11</v>
      </c>
      <c r="I37" s="40">
        <v>38882.916666666672</v>
      </c>
      <c r="J37" s="40"/>
      <c r="K37" s="40"/>
      <c r="L37" s="40"/>
    </row>
    <row r="38" spans="1:15" ht="15.75" thickBot="1" x14ac:dyDescent="0.3"/>
    <row r="39" spans="1:15" ht="30" x14ac:dyDescent="0.25">
      <c r="G39" s="41"/>
      <c r="H39" s="43" t="s">
        <v>279</v>
      </c>
      <c r="I39" s="43" t="s">
        <v>267</v>
      </c>
      <c r="J39" s="43" t="s">
        <v>280</v>
      </c>
      <c r="K39" s="41" t="s">
        <v>281</v>
      </c>
      <c r="L39" s="41" t="s">
        <v>282</v>
      </c>
      <c r="M39" s="41" t="s">
        <v>283</v>
      </c>
      <c r="N39" s="41" t="s">
        <v>284</v>
      </c>
      <c r="O39" s="41" t="s">
        <v>285</v>
      </c>
    </row>
    <row r="40" spans="1:15" x14ac:dyDescent="0.25">
      <c r="G40" s="39" t="s">
        <v>273</v>
      </c>
      <c r="H40" s="39">
        <v>83.267353672410991</v>
      </c>
      <c r="I40" s="39">
        <v>22.949275595648547</v>
      </c>
      <c r="J40" s="39">
        <v>3.628321657708423</v>
      </c>
      <c r="K40" s="39">
        <v>4.6254161088335414E-3</v>
      </c>
      <c r="L40" s="39">
        <v>32.133181312210411</v>
      </c>
      <c r="M40" s="39">
        <v>134.40152603261157</v>
      </c>
      <c r="N40" s="39">
        <v>32.133181312210411</v>
      </c>
      <c r="O40" s="39">
        <v>134.40152603261157</v>
      </c>
    </row>
    <row r="41" spans="1:15" ht="15.75" thickBot="1" x14ac:dyDescent="0.3">
      <c r="G41" s="40" t="s">
        <v>74</v>
      </c>
      <c r="H41" s="40">
        <v>0.11737508839231385</v>
      </c>
      <c r="I41" s="40">
        <v>2.8323015398089107E-2</v>
      </c>
      <c r="J41" s="40">
        <v>4.1441593256427387</v>
      </c>
      <c r="K41" s="40">
        <v>1.9985375781839654E-3</v>
      </c>
      <c r="L41" s="40">
        <v>5.4267477649205545E-2</v>
      </c>
      <c r="M41" s="40">
        <v>0.18048269913542214</v>
      </c>
      <c r="N41" s="40">
        <v>5.4267477649205545E-2</v>
      </c>
      <c r="O41" s="40">
        <v>0.18048269913542214</v>
      </c>
    </row>
    <row r="42" spans="1:15" x14ac:dyDescent="0.25">
      <c r="K42" t="s">
        <v>298</v>
      </c>
    </row>
    <row r="43" spans="1:15" ht="15.75" thickBot="1" x14ac:dyDescent="0.3">
      <c r="A43" t="s">
        <v>343</v>
      </c>
      <c r="G43" s="40" t="s">
        <v>74</v>
      </c>
      <c r="J43" s="10"/>
      <c r="K43" t="s">
        <v>299</v>
      </c>
    </row>
    <row r="44" spans="1:15" x14ac:dyDescent="0.25">
      <c r="K44" s="45"/>
    </row>
    <row r="45" spans="1:15" x14ac:dyDescent="0.25">
      <c r="G45" s="39"/>
      <c r="J45" s="39"/>
      <c r="K45" s="39" t="s">
        <v>300</v>
      </c>
    </row>
    <row r="46" spans="1:15" x14ac:dyDescent="0.25">
      <c r="G46" s="39"/>
      <c r="J46" s="39"/>
      <c r="K46" s="39" t="s">
        <v>301</v>
      </c>
    </row>
    <row r="47" spans="1:15" x14ac:dyDescent="0.25">
      <c r="G47" s="39"/>
      <c r="J47" s="39"/>
      <c r="K47" s="10"/>
    </row>
    <row r="48" spans="1:15" x14ac:dyDescent="0.25">
      <c r="A48" t="s">
        <v>295</v>
      </c>
      <c r="G48" s="39"/>
    </row>
    <row r="49" spans="1:13" x14ac:dyDescent="0.25">
      <c r="A49" t="s">
        <v>296</v>
      </c>
      <c r="G49" t="s">
        <v>286</v>
      </c>
      <c r="K49" t="s">
        <v>290</v>
      </c>
    </row>
    <row r="50" spans="1:13" ht="15.75" thickBot="1" x14ac:dyDescent="0.3">
      <c r="A50" t="s">
        <v>297</v>
      </c>
      <c r="H50" s="44" t="s">
        <v>611</v>
      </c>
    </row>
    <row r="51" spans="1:13" x14ac:dyDescent="0.25">
      <c r="A51" s="10"/>
      <c r="G51" s="41" t="s">
        <v>287</v>
      </c>
      <c r="H51" s="41" t="s">
        <v>288</v>
      </c>
      <c r="I51" s="41" t="s">
        <v>289</v>
      </c>
      <c r="K51" s="41" t="s">
        <v>291</v>
      </c>
      <c r="L51" s="41" t="s">
        <v>75</v>
      </c>
      <c r="M51" s="60" t="s">
        <v>612</v>
      </c>
    </row>
    <row r="52" spans="1:13" x14ac:dyDescent="0.25">
      <c r="G52" s="39">
        <v>1</v>
      </c>
      <c r="H52" s="39">
        <v>150.87540458638375</v>
      </c>
      <c r="I52" s="39">
        <v>27.124595413616248</v>
      </c>
      <c r="K52" s="39">
        <v>4.166666666666667</v>
      </c>
      <c r="L52" s="39">
        <v>94</v>
      </c>
      <c r="M52" s="53" t="s">
        <v>613</v>
      </c>
    </row>
    <row r="53" spans="1:13" x14ac:dyDescent="0.25">
      <c r="A53" t="s">
        <v>303</v>
      </c>
      <c r="G53" s="39">
        <v>2</v>
      </c>
      <c r="H53" s="39">
        <v>126.69613637756711</v>
      </c>
      <c r="I53" s="39">
        <v>11.303863622432885</v>
      </c>
      <c r="K53" s="39">
        <v>12.5</v>
      </c>
      <c r="L53" s="39">
        <v>98</v>
      </c>
      <c r="M53" s="53" t="s">
        <v>614</v>
      </c>
    </row>
    <row r="54" spans="1:13" x14ac:dyDescent="0.25">
      <c r="A54" t="s">
        <v>304</v>
      </c>
      <c r="G54" s="39">
        <v>3</v>
      </c>
      <c r="H54" s="39">
        <v>155.10090776850706</v>
      </c>
      <c r="I54" s="39">
        <v>-61.100907768507057</v>
      </c>
      <c r="K54" s="39">
        <v>20.833333333333336</v>
      </c>
      <c r="L54" s="39">
        <v>98</v>
      </c>
      <c r="M54" s="53" t="s">
        <v>615</v>
      </c>
    </row>
    <row r="55" spans="1:13" x14ac:dyDescent="0.25">
      <c r="G55" s="39">
        <v>4</v>
      </c>
      <c r="H55" s="39">
        <v>225.99546115746463</v>
      </c>
      <c r="I55" s="39">
        <v>52.004538842535368</v>
      </c>
      <c r="K55" s="39">
        <v>29.166666666666668</v>
      </c>
      <c r="L55" s="39">
        <v>138</v>
      </c>
    </row>
    <row r="56" spans="1:13" x14ac:dyDescent="0.25">
      <c r="A56" t="s">
        <v>305</v>
      </c>
      <c r="G56" s="39">
        <v>5</v>
      </c>
      <c r="H56" s="39">
        <v>131.27376482486736</v>
      </c>
      <c r="I56" s="39">
        <v>26.726235175132643</v>
      </c>
      <c r="K56" s="39">
        <v>37.5</v>
      </c>
      <c r="L56" s="39">
        <v>138</v>
      </c>
    </row>
    <row r="57" spans="1:13" x14ac:dyDescent="0.25">
      <c r="A57" t="s">
        <v>306</v>
      </c>
      <c r="G57" s="39">
        <v>6</v>
      </c>
      <c r="H57" s="39">
        <v>259.5647364376664</v>
      </c>
      <c r="I57" s="39">
        <v>-1.5647364376663973</v>
      </c>
      <c r="K57" s="39">
        <v>45.833333333333336</v>
      </c>
      <c r="L57" s="39">
        <v>158</v>
      </c>
    </row>
    <row r="58" spans="1:13" x14ac:dyDescent="0.25">
      <c r="A58" t="s">
        <v>307</v>
      </c>
      <c r="G58" s="39">
        <v>7</v>
      </c>
      <c r="H58" s="39">
        <v>194.3041872915399</v>
      </c>
      <c r="I58" s="39">
        <v>3.695812708460096</v>
      </c>
      <c r="K58" s="39">
        <v>54.166666666666664</v>
      </c>
      <c r="L58" s="39">
        <v>178</v>
      </c>
    </row>
    <row r="59" spans="1:13" x14ac:dyDescent="0.25">
      <c r="A59" t="s">
        <v>308</v>
      </c>
      <c r="G59" s="39">
        <v>8</v>
      </c>
      <c r="H59" s="39">
        <v>200.40769188794022</v>
      </c>
      <c r="I59" s="39">
        <v>-12.407691887940217</v>
      </c>
      <c r="K59" s="39">
        <v>62.5</v>
      </c>
      <c r="L59" s="39">
        <v>179</v>
      </c>
    </row>
    <row r="60" spans="1:13" x14ac:dyDescent="0.25">
      <c r="A60" t="s">
        <v>309</v>
      </c>
      <c r="G60" s="39">
        <v>9</v>
      </c>
      <c r="H60" s="39">
        <v>105.45124537855831</v>
      </c>
      <c r="I60" s="39">
        <v>-7.4512453785583119</v>
      </c>
      <c r="K60" s="39">
        <v>70.833333333333343</v>
      </c>
      <c r="L60" s="39">
        <v>188</v>
      </c>
    </row>
    <row r="61" spans="1:13" x14ac:dyDescent="0.25">
      <c r="A61" t="s">
        <v>310</v>
      </c>
      <c r="G61" s="39">
        <v>10</v>
      </c>
      <c r="H61" s="39">
        <v>175.641548237162</v>
      </c>
      <c r="I61" s="39">
        <v>3.3584517628380013</v>
      </c>
      <c r="K61" s="39">
        <v>79.166666666666671</v>
      </c>
      <c r="L61" s="39">
        <v>198</v>
      </c>
    </row>
    <row r="62" spans="1:13" x14ac:dyDescent="0.25">
      <c r="G62" s="39">
        <v>11</v>
      </c>
      <c r="H62" s="39">
        <v>107.9161222347969</v>
      </c>
      <c r="I62" s="39">
        <v>30.083877765203098</v>
      </c>
      <c r="K62" s="39">
        <v>87.500000000000014</v>
      </c>
      <c r="L62" s="39">
        <v>258</v>
      </c>
    </row>
    <row r="63" spans="1:13" ht="15.75" thickBot="1" x14ac:dyDescent="0.3">
      <c r="G63" s="40">
        <v>12</v>
      </c>
      <c r="H63" s="40">
        <v>169.7727938175463</v>
      </c>
      <c r="I63" s="40">
        <v>-71.772793817546301</v>
      </c>
      <c r="K63" s="40">
        <v>95.833333333333343</v>
      </c>
      <c r="L63" s="40">
        <v>278</v>
      </c>
    </row>
    <row r="65" spans="1:12" x14ac:dyDescent="0.25">
      <c r="A65" t="s">
        <v>618</v>
      </c>
    </row>
    <row r="67" spans="1:12" x14ac:dyDescent="0.25">
      <c r="A67" t="s">
        <v>619</v>
      </c>
      <c r="B67" t="s">
        <v>620</v>
      </c>
      <c r="G67" t="s">
        <v>262</v>
      </c>
    </row>
    <row r="68" spans="1:12" ht="15.75" thickBot="1" x14ac:dyDescent="0.3">
      <c r="A68">
        <v>-10</v>
      </c>
      <c r="B68">
        <f>A68^2</f>
        <v>100</v>
      </c>
    </row>
    <row r="69" spans="1:12" x14ac:dyDescent="0.25">
      <c r="A69">
        <v>-9</v>
      </c>
      <c r="B69">
        <f t="shared" ref="B69:B88" si="0">A69^2</f>
        <v>81</v>
      </c>
      <c r="G69" s="42" t="s">
        <v>263</v>
      </c>
      <c r="H69" s="42"/>
    </row>
    <row r="70" spans="1:12" x14ac:dyDescent="0.25">
      <c r="A70">
        <v>-8</v>
      </c>
      <c r="B70">
        <f t="shared" si="0"/>
        <v>64</v>
      </c>
      <c r="G70" s="39" t="s">
        <v>264</v>
      </c>
      <c r="H70" s="39">
        <v>1.8009623288391706E-8</v>
      </c>
    </row>
    <row r="71" spans="1:12" x14ac:dyDescent="0.25">
      <c r="A71">
        <v>-7</v>
      </c>
      <c r="B71">
        <f t="shared" si="0"/>
        <v>49</v>
      </c>
      <c r="G71" s="39" t="s">
        <v>265</v>
      </c>
      <c r="H71" s="39">
        <v>3.2434653098978089E-16</v>
      </c>
      <c r="I71" s="53" t="s">
        <v>621</v>
      </c>
    </row>
    <row r="72" spans="1:12" x14ac:dyDescent="0.25">
      <c r="A72">
        <v>-6</v>
      </c>
      <c r="B72">
        <f t="shared" si="0"/>
        <v>36</v>
      </c>
      <c r="G72" s="39" t="s">
        <v>266</v>
      </c>
      <c r="H72" s="39">
        <v>-5.2631578947368085E-2</v>
      </c>
    </row>
    <row r="73" spans="1:12" x14ac:dyDescent="0.25">
      <c r="A73">
        <v>-5</v>
      </c>
      <c r="B73">
        <f t="shared" si="0"/>
        <v>25</v>
      </c>
      <c r="G73" s="39" t="s">
        <v>267</v>
      </c>
      <c r="H73" s="39">
        <v>34.36083041293773</v>
      </c>
    </row>
    <row r="74" spans="1:12" ht="15.75" thickBot="1" x14ac:dyDescent="0.3">
      <c r="A74">
        <v>-4</v>
      </c>
      <c r="B74">
        <f t="shared" si="0"/>
        <v>16</v>
      </c>
      <c r="G74" s="40" t="s">
        <v>268</v>
      </c>
      <c r="H74" s="40">
        <v>21</v>
      </c>
    </row>
    <row r="75" spans="1:12" x14ac:dyDescent="0.25">
      <c r="A75">
        <v>-3</v>
      </c>
      <c r="B75">
        <f t="shared" si="0"/>
        <v>9</v>
      </c>
    </row>
    <row r="76" spans="1:12" ht="15.75" thickBot="1" x14ac:dyDescent="0.3">
      <c r="A76">
        <v>-2</v>
      </c>
      <c r="B76">
        <f t="shared" si="0"/>
        <v>4</v>
      </c>
      <c r="G76" t="s">
        <v>269</v>
      </c>
    </row>
    <row r="77" spans="1:12" x14ac:dyDescent="0.25">
      <c r="A77">
        <v>-1</v>
      </c>
      <c r="B77">
        <f t="shared" si="0"/>
        <v>1</v>
      </c>
      <c r="G77" s="41"/>
      <c r="H77" s="41" t="s">
        <v>274</v>
      </c>
      <c r="I77" s="41" t="s">
        <v>275</v>
      </c>
      <c r="J77" s="41" t="s">
        <v>276</v>
      </c>
      <c r="K77" s="41" t="s">
        <v>277</v>
      </c>
      <c r="L77" s="41" t="s">
        <v>278</v>
      </c>
    </row>
    <row r="78" spans="1:12" x14ac:dyDescent="0.25">
      <c r="A78">
        <v>0</v>
      </c>
      <c r="B78">
        <f t="shared" si="0"/>
        <v>0</v>
      </c>
      <c r="G78" s="39" t="s">
        <v>270</v>
      </c>
      <c r="H78" s="39">
        <v>1</v>
      </c>
      <c r="I78" s="39">
        <v>7.2759576141834259E-12</v>
      </c>
      <c r="J78" s="39">
        <v>7.2759576141834259E-12</v>
      </c>
      <c r="K78" s="39">
        <v>6.162584088805839E-15</v>
      </c>
      <c r="L78" s="39">
        <v>0.99999993818274457</v>
      </c>
    </row>
    <row r="79" spans="1:12" x14ac:dyDescent="0.25">
      <c r="A79">
        <v>1</v>
      </c>
      <c r="B79">
        <f t="shared" si="0"/>
        <v>1</v>
      </c>
      <c r="G79" s="39" t="s">
        <v>271</v>
      </c>
      <c r="H79" s="39">
        <v>19</v>
      </c>
      <c r="I79" s="39">
        <v>22432.666666666664</v>
      </c>
      <c r="J79" s="39">
        <v>1180.6666666666665</v>
      </c>
      <c r="K79" s="39"/>
      <c r="L79" s="39"/>
    </row>
    <row r="80" spans="1:12" ht="15.75" thickBot="1" x14ac:dyDescent="0.3">
      <c r="A80">
        <v>2</v>
      </c>
      <c r="B80">
        <f t="shared" si="0"/>
        <v>4</v>
      </c>
      <c r="G80" s="40" t="s">
        <v>272</v>
      </c>
      <c r="H80" s="40">
        <v>20</v>
      </c>
      <c r="I80" s="40">
        <v>22432.666666666672</v>
      </c>
      <c r="J80" s="40"/>
      <c r="K80" s="40"/>
      <c r="L80" s="40"/>
    </row>
    <row r="81" spans="1:15" ht="15.75" thickBot="1" x14ac:dyDescent="0.3">
      <c r="A81">
        <v>3</v>
      </c>
      <c r="B81">
        <f t="shared" si="0"/>
        <v>9</v>
      </c>
    </row>
    <row r="82" spans="1:15" x14ac:dyDescent="0.25">
      <c r="A82">
        <v>4</v>
      </c>
      <c r="B82">
        <f t="shared" si="0"/>
        <v>16</v>
      </c>
      <c r="G82" s="41"/>
      <c r="H82" s="41" t="s">
        <v>279</v>
      </c>
      <c r="I82" s="41" t="s">
        <v>267</v>
      </c>
      <c r="J82" s="41" t="s">
        <v>280</v>
      </c>
      <c r="K82" s="41" t="s">
        <v>281</v>
      </c>
      <c r="L82" s="41" t="s">
        <v>282</v>
      </c>
      <c r="M82" s="41" t="s">
        <v>283</v>
      </c>
      <c r="N82" s="41" t="s">
        <v>284</v>
      </c>
      <c r="O82" s="41" t="s">
        <v>285</v>
      </c>
    </row>
    <row r="83" spans="1:15" x14ac:dyDescent="0.25">
      <c r="A83">
        <v>5</v>
      </c>
      <c r="B83">
        <f t="shared" si="0"/>
        <v>25</v>
      </c>
      <c r="G83" s="39" t="s">
        <v>273</v>
      </c>
      <c r="H83" s="39">
        <v>36.666666666666664</v>
      </c>
      <c r="I83" s="39">
        <v>7.4981479194679945</v>
      </c>
      <c r="J83" s="39">
        <v>4.8900964692182578</v>
      </c>
      <c r="K83" s="39">
        <v>1.0166498870416237E-4</v>
      </c>
      <c r="L83" s="39">
        <v>20.972862707708529</v>
      </c>
      <c r="M83" s="39">
        <v>52.360470625624799</v>
      </c>
      <c r="N83" s="39">
        <v>20.972862707708529</v>
      </c>
      <c r="O83" s="39">
        <v>52.360470625624799</v>
      </c>
    </row>
    <row r="84" spans="1:15" ht="15.75" thickBot="1" x14ac:dyDescent="0.3">
      <c r="A84">
        <v>6</v>
      </c>
      <c r="B84">
        <f t="shared" si="0"/>
        <v>36</v>
      </c>
      <c r="G84" s="40" t="s">
        <v>619</v>
      </c>
      <c r="H84" s="40">
        <v>7.6818548339095882E-16</v>
      </c>
      <c r="I84" s="40">
        <v>1.2382783747337804</v>
      </c>
      <c r="J84" s="40">
        <v>6.2036574252224365E-16</v>
      </c>
      <c r="K84" s="40">
        <v>1</v>
      </c>
      <c r="L84" s="40">
        <v>-2.5917464243714283</v>
      </c>
      <c r="M84" s="40">
        <v>2.5917464243714301</v>
      </c>
      <c r="N84" s="40">
        <v>-2.5917464243714283</v>
      </c>
      <c r="O84" s="40">
        <v>2.5917464243714301</v>
      </c>
    </row>
    <row r="85" spans="1:15" x14ac:dyDescent="0.25">
      <c r="A85">
        <v>7</v>
      </c>
      <c r="B85">
        <f t="shared" si="0"/>
        <v>49</v>
      </c>
      <c r="K85" t="s">
        <v>298</v>
      </c>
    </row>
    <row r="86" spans="1:15" x14ac:dyDescent="0.25">
      <c r="A86">
        <v>8</v>
      </c>
      <c r="B86">
        <f t="shared" si="0"/>
        <v>64</v>
      </c>
      <c r="K86" t="s">
        <v>622</v>
      </c>
    </row>
    <row r="87" spans="1:15" x14ac:dyDescent="0.25">
      <c r="A87">
        <v>9</v>
      </c>
      <c r="B87">
        <f t="shared" si="0"/>
        <v>81</v>
      </c>
      <c r="K87" s="45"/>
    </row>
    <row r="88" spans="1:15" x14ac:dyDescent="0.25">
      <c r="A88">
        <v>10</v>
      </c>
      <c r="B88">
        <f t="shared" si="0"/>
        <v>100</v>
      </c>
      <c r="K88" s="39" t="s">
        <v>623</v>
      </c>
    </row>
    <row r="89" spans="1:15" x14ac:dyDescent="0.25">
      <c r="K89" s="39" t="s">
        <v>301</v>
      </c>
    </row>
    <row r="90" spans="1:15" x14ac:dyDescent="0.25">
      <c r="K90" s="10"/>
    </row>
    <row r="91" spans="1:15" x14ac:dyDescent="0.25">
      <c r="K91" s="39" t="s">
        <v>624</v>
      </c>
    </row>
    <row r="92" spans="1:15" x14ac:dyDescent="0.25">
      <c r="K92" s="10"/>
    </row>
    <row r="93" spans="1:15" x14ac:dyDescent="0.25">
      <c r="K93" s="39" t="s">
        <v>625</v>
      </c>
    </row>
    <row r="94" spans="1:15" x14ac:dyDescent="0.25">
      <c r="K94" s="10"/>
    </row>
  </sheetData>
  <sortState ref="L44:L55">
    <sortCondition ref="L57"/>
  </sortState>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workbookViewId="0">
      <selection activeCell="H1" sqref="H1"/>
    </sheetView>
  </sheetViews>
  <sheetFormatPr defaultRowHeight="15" x14ac:dyDescent="0.25"/>
  <cols>
    <col min="7" max="7" width="17" customWidth="1"/>
    <col min="8" max="8" width="12.42578125" customWidth="1"/>
  </cols>
  <sheetData>
    <row r="1" spans="1:16" ht="18" thickBot="1" x14ac:dyDescent="0.35">
      <c r="A1" s="54" t="s">
        <v>607</v>
      </c>
      <c r="P1" t="s">
        <v>344</v>
      </c>
    </row>
    <row r="2" spans="1:16" ht="15.75" thickTop="1" x14ac:dyDescent="0.25">
      <c r="A2" t="s">
        <v>834</v>
      </c>
    </row>
    <row r="3" spans="1:16" ht="31.5" x14ac:dyDescent="0.5">
      <c r="A3" s="38" t="s">
        <v>616</v>
      </c>
    </row>
    <row r="4" spans="1:16" x14ac:dyDescent="0.25">
      <c r="A4" t="s">
        <v>617</v>
      </c>
    </row>
    <row r="6" spans="1:16" x14ac:dyDescent="0.25">
      <c r="A6" t="s">
        <v>258</v>
      </c>
    </row>
    <row r="7" spans="1:16" x14ac:dyDescent="0.25">
      <c r="A7" s="10"/>
    </row>
    <row r="9" spans="1:16" x14ac:dyDescent="0.25">
      <c r="A9" t="s">
        <v>253</v>
      </c>
    </row>
    <row r="10" spans="1:16" x14ac:dyDescent="0.25">
      <c r="A10" t="s">
        <v>254</v>
      </c>
    </row>
    <row r="11" spans="1:16" x14ac:dyDescent="0.25">
      <c r="A11" t="s">
        <v>255</v>
      </c>
      <c r="B11" s="10"/>
    </row>
    <row r="12" spans="1:16" x14ac:dyDescent="0.25">
      <c r="A12" t="s">
        <v>256</v>
      </c>
    </row>
    <row r="13" spans="1:16" x14ac:dyDescent="0.25">
      <c r="A13" t="s">
        <v>257</v>
      </c>
      <c r="B13" s="10"/>
    </row>
    <row r="15" spans="1:16" x14ac:dyDescent="0.25">
      <c r="A15" t="s">
        <v>259</v>
      </c>
    </row>
    <row r="16" spans="1:16" x14ac:dyDescent="0.25">
      <c r="A16" t="s">
        <v>260</v>
      </c>
    </row>
    <row r="17" spans="1:9" x14ac:dyDescent="0.25">
      <c r="A17" t="s">
        <v>608</v>
      </c>
    </row>
    <row r="18" spans="1:9" x14ac:dyDescent="0.25">
      <c r="A18" t="s">
        <v>491</v>
      </c>
    </row>
    <row r="19" spans="1:9" x14ac:dyDescent="0.25">
      <c r="A19" t="s">
        <v>492</v>
      </c>
    </row>
    <row r="20" spans="1:9" x14ac:dyDescent="0.25">
      <c r="A20" t="s">
        <v>493</v>
      </c>
    </row>
    <row r="21" spans="1:9" x14ac:dyDescent="0.25">
      <c r="A21" t="s">
        <v>294</v>
      </c>
    </row>
    <row r="22" spans="1:9" x14ac:dyDescent="0.25">
      <c r="E22" t="s">
        <v>261</v>
      </c>
    </row>
    <row r="24" spans="1:9" x14ac:dyDescent="0.25">
      <c r="A24" t="s">
        <v>78</v>
      </c>
      <c r="B24" t="s">
        <v>74</v>
      </c>
      <c r="C24" t="s">
        <v>75</v>
      </c>
      <c r="G24" t="s">
        <v>262</v>
      </c>
    </row>
    <row r="25" spans="1:9" ht="15.75" thickBot="1" x14ac:dyDescent="0.3">
      <c r="A25" t="str">
        <f>datagathering!$C$28</f>
        <v>Atlanta</v>
      </c>
      <c r="B25">
        <f>datagathering!$D$28</f>
        <v>576</v>
      </c>
      <c r="C25" s="14">
        <f>datagathering!$E$28</f>
        <v>178</v>
      </c>
    </row>
    <row r="26" spans="1:9" x14ac:dyDescent="0.25">
      <c r="A26" t="str">
        <f>datagathering!$C$29</f>
        <v>Boston</v>
      </c>
      <c r="B26">
        <f>datagathering!$D$29</f>
        <v>370</v>
      </c>
      <c r="C26" s="14">
        <f>datagathering!$E$29</f>
        <v>138</v>
      </c>
      <c r="G26" s="42" t="s">
        <v>263</v>
      </c>
      <c r="H26" s="42"/>
    </row>
    <row r="27" spans="1:9" x14ac:dyDescent="0.25">
      <c r="A27" t="str">
        <f>datagathering!$C$30</f>
        <v>Chicago</v>
      </c>
      <c r="B27">
        <f>datagathering!$D$30</f>
        <v>612</v>
      </c>
      <c r="C27" s="14">
        <f>datagathering!$E$30</f>
        <v>94</v>
      </c>
      <c r="G27" s="39" t="s">
        <v>264</v>
      </c>
      <c r="H27" s="39"/>
    </row>
    <row r="28" spans="1:9" x14ac:dyDescent="0.25">
      <c r="A28" t="str">
        <f>datagathering!$C$31</f>
        <v>Dallas/Fort Worth</v>
      </c>
      <c r="B28">
        <f>datagathering!$D$31</f>
        <v>1216</v>
      </c>
      <c r="C28" s="14">
        <f>datagathering!$E$31</f>
        <v>278</v>
      </c>
      <c r="G28" s="39" t="s">
        <v>265</v>
      </c>
      <c r="H28" s="39"/>
      <c r="I28" s="44" t="s">
        <v>292</v>
      </c>
    </row>
    <row r="29" spans="1:9" x14ac:dyDescent="0.25">
      <c r="A29" t="str">
        <f>datagathering!$C$32</f>
        <v>Detroit</v>
      </c>
      <c r="B29">
        <f>datagathering!$D$32</f>
        <v>409</v>
      </c>
      <c r="C29" s="14">
        <f>datagathering!$E$32</f>
        <v>158</v>
      </c>
      <c r="G29" s="39" t="s">
        <v>266</v>
      </c>
      <c r="H29" s="39"/>
      <c r="I29" s="44" t="s">
        <v>609</v>
      </c>
    </row>
    <row r="30" spans="1:9" x14ac:dyDescent="0.25">
      <c r="A30" t="str">
        <f>datagathering!$C$33</f>
        <v>Denver</v>
      </c>
      <c r="B30">
        <f>datagathering!$D$33</f>
        <v>1502</v>
      </c>
      <c r="C30" s="14">
        <f>datagathering!$E$33</f>
        <v>258</v>
      </c>
      <c r="G30" s="39" t="s">
        <v>267</v>
      </c>
      <c r="H30" s="39"/>
      <c r="I30" s="44" t="s">
        <v>293</v>
      </c>
    </row>
    <row r="31" spans="1:9" ht="15.75" thickBot="1" x14ac:dyDescent="0.3">
      <c r="A31" t="str">
        <f>datagathering!$C$34</f>
        <v>Miami</v>
      </c>
      <c r="B31">
        <f>datagathering!$D$34</f>
        <v>946</v>
      </c>
      <c r="C31" s="14">
        <f>datagathering!$E$34</f>
        <v>198</v>
      </c>
      <c r="G31" s="40" t="s">
        <v>268</v>
      </c>
      <c r="H31" s="40"/>
    </row>
    <row r="32" spans="1:9" x14ac:dyDescent="0.25">
      <c r="A32" t="str">
        <f>datagathering!$C$35</f>
        <v>New Orleans</v>
      </c>
      <c r="B32">
        <f>datagathering!$D$35</f>
        <v>998</v>
      </c>
      <c r="C32" s="14">
        <f>datagathering!$E$35</f>
        <v>188</v>
      </c>
    </row>
    <row r="33" spans="1:15" ht="15.75" thickBot="1" x14ac:dyDescent="0.3">
      <c r="A33" t="str">
        <f>datagathering!$C$36</f>
        <v>New York</v>
      </c>
      <c r="B33">
        <f>datagathering!$D$36</f>
        <v>189</v>
      </c>
      <c r="C33" s="14">
        <f>datagathering!$E$36</f>
        <v>98</v>
      </c>
      <c r="G33" t="s">
        <v>269</v>
      </c>
      <c r="H33" s="44" t="s">
        <v>610</v>
      </c>
      <c r="I33" s="44"/>
    </row>
    <row r="34" spans="1:15" x14ac:dyDescent="0.25">
      <c r="A34" t="str">
        <f>datagathering!$C$37</f>
        <v>Orlando</v>
      </c>
      <c r="B34">
        <f>datagathering!$D$37</f>
        <v>787</v>
      </c>
      <c r="C34" s="14">
        <f>datagathering!$E$37</f>
        <v>179</v>
      </c>
      <c r="G34" s="41"/>
      <c r="H34" s="41" t="s">
        <v>274</v>
      </c>
      <c r="I34" s="41" t="s">
        <v>275</v>
      </c>
      <c r="J34" s="41" t="s">
        <v>276</v>
      </c>
      <c r="K34" s="41" t="s">
        <v>277</v>
      </c>
      <c r="L34" s="41" t="s">
        <v>278</v>
      </c>
    </row>
    <row r="35" spans="1:15" x14ac:dyDescent="0.25">
      <c r="A35" t="str">
        <f>datagathering!$C$38</f>
        <v>Pittsburgh</v>
      </c>
      <c r="B35">
        <f>datagathering!$D$38</f>
        <v>210</v>
      </c>
      <c r="C35" s="14">
        <f>datagathering!$E$38</f>
        <v>138</v>
      </c>
      <c r="G35" s="39" t="s">
        <v>270</v>
      </c>
      <c r="H35" s="39"/>
      <c r="I35" s="39"/>
      <c r="J35" s="39"/>
      <c r="K35" s="39"/>
      <c r="L35" s="39"/>
    </row>
    <row r="36" spans="1:15" x14ac:dyDescent="0.25">
      <c r="A36" t="str">
        <f>datagathering!$C$39</f>
        <v>St. Louis</v>
      </c>
      <c r="B36">
        <f>datagathering!$D$39</f>
        <v>737</v>
      </c>
      <c r="C36" s="14">
        <f>datagathering!$E$39</f>
        <v>98</v>
      </c>
      <c r="G36" s="39" t="s">
        <v>271</v>
      </c>
      <c r="H36" s="39"/>
      <c r="I36" s="39"/>
      <c r="J36" s="39"/>
      <c r="K36" s="39"/>
      <c r="L36" s="39"/>
    </row>
    <row r="37" spans="1:15" ht="15.75" thickBot="1" x14ac:dyDescent="0.3">
      <c r="G37" s="40" t="s">
        <v>272</v>
      </c>
      <c r="H37" s="40"/>
      <c r="I37" s="40"/>
      <c r="J37" s="40"/>
      <c r="K37" s="40"/>
      <c r="L37" s="40"/>
    </row>
    <row r="38" spans="1:15" ht="15.75" thickBot="1" x14ac:dyDescent="0.3"/>
    <row r="39" spans="1:15" ht="30" x14ac:dyDescent="0.25">
      <c r="G39" s="41"/>
      <c r="H39" s="43" t="s">
        <v>279</v>
      </c>
      <c r="I39" s="43" t="s">
        <v>267</v>
      </c>
      <c r="J39" s="43" t="s">
        <v>280</v>
      </c>
      <c r="K39" s="41" t="s">
        <v>281</v>
      </c>
      <c r="L39" s="41" t="s">
        <v>282</v>
      </c>
      <c r="M39" s="41" t="s">
        <v>283</v>
      </c>
      <c r="N39" s="41" t="s">
        <v>284</v>
      </c>
      <c r="O39" s="41" t="s">
        <v>285</v>
      </c>
    </row>
    <row r="40" spans="1:15" x14ac:dyDescent="0.25">
      <c r="G40" s="39" t="s">
        <v>273</v>
      </c>
      <c r="H40" s="39"/>
      <c r="I40" s="39"/>
      <c r="J40" s="39"/>
      <c r="K40" s="39"/>
      <c r="L40" s="39"/>
      <c r="M40" s="39"/>
      <c r="N40" s="39"/>
      <c r="O40" s="39"/>
    </row>
    <row r="41" spans="1:15" ht="15.75" thickBot="1" x14ac:dyDescent="0.3">
      <c r="G41" s="40" t="s">
        <v>74</v>
      </c>
      <c r="H41" s="40"/>
      <c r="I41" s="40"/>
      <c r="J41" s="40"/>
      <c r="K41" s="40"/>
      <c r="L41" s="40"/>
      <c r="M41" s="40"/>
      <c r="N41" s="40"/>
      <c r="O41" s="40"/>
    </row>
    <row r="42" spans="1:15" x14ac:dyDescent="0.25">
      <c r="K42" t="s">
        <v>298</v>
      </c>
    </row>
    <row r="43" spans="1:15" ht="15.75" thickBot="1" x14ac:dyDescent="0.3">
      <c r="A43" t="s">
        <v>343</v>
      </c>
      <c r="G43" s="40" t="s">
        <v>74</v>
      </c>
      <c r="J43" s="10"/>
      <c r="K43" t="s">
        <v>299</v>
      </c>
    </row>
    <row r="44" spans="1:15" x14ac:dyDescent="0.25">
      <c r="K44" s="45"/>
    </row>
    <row r="45" spans="1:15" x14ac:dyDescent="0.25">
      <c r="G45" s="39"/>
      <c r="J45" s="39"/>
      <c r="K45" s="39" t="s">
        <v>300</v>
      </c>
    </row>
    <row r="46" spans="1:15" x14ac:dyDescent="0.25">
      <c r="G46" s="39"/>
      <c r="J46" s="39"/>
      <c r="K46" s="39" t="s">
        <v>301</v>
      </c>
    </row>
    <row r="47" spans="1:15" x14ac:dyDescent="0.25">
      <c r="G47" s="39"/>
      <c r="J47" s="39"/>
      <c r="K47" s="10"/>
    </row>
    <row r="48" spans="1:15" x14ac:dyDescent="0.25">
      <c r="A48" t="s">
        <v>295</v>
      </c>
      <c r="G48" s="39"/>
    </row>
    <row r="49" spans="1:13" x14ac:dyDescent="0.25">
      <c r="A49" t="s">
        <v>296</v>
      </c>
      <c r="G49" t="s">
        <v>286</v>
      </c>
      <c r="K49" t="s">
        <v>290</v>
      </c>
    </row>
    <row r="50" spans="1:13" ht="15.75" thickBot="1" x14ac:dyDescent="0.3">
      <c r="A50" t="s">
        <v>297</v>
      </c>
      <c r="H50" s="44" t="s">
        <v>611</v>
      </c>
    </row>
    <row r="51" spans="1:13" x14ac:dyDescent="0.25">
      <c r="A51" s="10"/>
      <c r="G51" s="41" t="s">
        <v>287</v>
      </c>
      <c r="H51" s="41" t="s">
        <v>288</v>
      </c>
      <c r="I51" s="41" t="s">
        <v>289</v>
      </c>
      <c r="K51" s="41" t="s">
        <v>291</v>
      </c>
      <c r="L51" s="41" t="s">
        <v>75</v>
      </c>
      <c r="M51" s="60" t="s">
        <v>612</v>
      </c>
    </row>
    <row r="52" spans="1:13" x14ac:dyDescent="0.25">
      <c r="G52" s="39"/>
      <c r="H52" s="39"/>
      <c r="I52" s="39"/>
      <c r="K52" s="39"/>
      <c r="L52" s="39"/>
      <c r="M52" s="53" t="s">
        <v>613</v>
      </c>
    </row>
    <row r="53" spans="1:13" x14ac:dyDescent="0.25">
      <c r="A53" t="s">
        <v>303</v>
      </c>
      <c r="G53" s="39"/>
      <c r="H53" s="39"/>
      <c r="I53" s="39"/>
      <c r="K53" s="39"/>
      <c r="L53" s="39"/>
      <c r="M53" s="53" t="s">
        <v>614</v>
      </c>
    </row>
    <row r="54" spans="1:13" x14ac:dyDescent="0.25">
      <c r="A54" t="s">
        <v>304</v>
      </c>
      <c r="G54" s="39"/>
      <c r="H54" s="39"/>
      <c r="I54" s="39"/>
      <c r="K54" s="39"/>
      <c r="L54" s="39"/>
      <c r="M54" s="53" t="s">
        <v>615</v>
      </c>
    </row>
    <row r="55" spans="1:13" x14ac:dyDescent="0.25">
      <c r="G55" s="39"/>
      <c r="H55" s="39"/>
      <c r="I55" s="39"/>
      <c r="K55" s="39"/>
      <c r="L55" s="39"/>
    </row>
    <row r="56" spans="1:13" x14ac:dyDescent="0.25">
      <c r="A56" t="s">
        <v>305</v>
      </c>
      <c r="G56" s="39"/>
      <c r="H56" s="39"/>
      <c r="I56" s="39"/>
      <c r="K56" s="39"/>
      <c r="L56" s="39"/>
    </row>
    <row r="57" spans="1:13" x14ac:dyDescent="0.25">
      <c r="A57" t="s">
        <v>306</v>
      </c>
      <c r="G57" s="39"/>
      <c r="H57" s="39"/>
      <c r="I57" s="39"/>
      <c r="K57" s="39"/>
      <c r="L57" s="39"/>
    </row>
    <row r="58" spans="1:13" x14ac:dyDescent="0.25">
      <c r="A58" t="s">
        <v>307</v>
      </c>
      <c r="G58" s="39"/>
      <c r="H58" s="39"/>
      <c r="I58" s="39"/>
      <c r="K58" s="39"/>
      <c r="L58" s="39"/>
    </row>
    <row r="59" spans="1:13" x14ac:dyDescent="0.25">
      <c r="A59" t="s">
        <v>308</v>
      </c>
      <c r="G59" s="39"/>
      <c r="H59" s="39"/>
      <c r="I59" s="39"/>
      <c r="K59" s="39"/>
      <c r="L59" s="39"/>
    </row>
    <row r="60" spans="1:13" x14ac:dyDescent="0.25">
      <c r="A60" t="s">
        <v>309</v>
      </c>
      <c r="G60" s="39"/>
      <c r="H60" s="39"/>
      <c r="I60" s="39"/>
      <c r="K60" s="39"/>
      <c r="L60" s="39"/>
    </row>
    <row r="61" spans="1:13" x14ac:dyDescent="0.25">
      <c r="A61" t="s">
        <v>310</v>
      </c>
      <c r="G61" s="39"/>
      <c r="H61" s="39"/>
      <c r="I61" s="39"/>
      <c r="K61" s="39"/>
      <c r="L61" s="39"/>
    </row>
    <row r="62" spans="1:13" x14ac:dyDescent="0.25">
      <c r="G62" s="39"/>
      <c r="H62" s="39"/>
      <c r="I62" s="39"/>
      <c r="K62" s="39"/>
      <c r="L62" s="39"/>
    </row>
    <row r="63" spans="1:13" ht="15.75" thickBot="1" x14ac:dyDescent="0.3">
      <c r="G63" s="40"/>
      <c r="H63" s="40"/>
      <c r="I63" s="40"/>
      <c r="K63" s="40"/>
      <c r="L63" s="40"/>
    </row>
    <row r="65" spans="1:12" x14ac:dyDescent="0.25">
      <c r="A65" t="s">
        <v>618</v>
      </c>
    </row>
    <row r="67" spans="1:12" x14ac:dyDescent="0.25">
      <c r="A67" t="s">
        <v>619</v>
      </c>
      <c r="B67" t="s">
        <v>620</v>
      </c>
      <c r="G67" t="s">
        <v>262</v>
      </c>
    </row>
    <row r="68" spans="1:12" ht="15.75" thickBot="1" x14ac:dyDescent="0.3">
      <c r="A68">
        <v>-10</v>
      </c>
      <c r="B68">
        <f>A68^2</f>
        <v>100</v>
      </c>
    </row>
    <row r="69" spans="1:12" x14ac:dyDescent="0.25">
      <c r="A69">
        <v>-9</v>
      </c>
      <c r="B69">
        <f t="shared" ref="B69:B88" si="0">A69^2</f>
        <v>81</v>
      </c>
      <c r="G69" s="42" t="s">
        <v>263</v>
      </c>
      <c r="H69" s="42"/>
    </row>
    <row r="70" spans="1:12" x14ac:dyDescent="0.25">
      <c r="A70">
        <v>-8</v>
      </c>
      <c r="B70">
        <f t="shared" si="0"/>
        <v>64</v>
      </c>
      <c r="G70" s="39" t="s">
        <v>264</v>
      </c>
      <c r="H70" s="39">
        <v>1.8009623288391706E-8</v>
      </c>
    </row>
    <row r="71" spans="1:12" x14ac:dyDescent="0.25">
      <c r="A71">
        <v>-7</v>
      </c>
      <c r="B71">
        <f t="shared" si="0"/>
        <v>49</v>
      </c>
      <c r="G71" s="39" t="s">
        <v>265</v>
      </c>
      <c r="H71" s="39">
        <v>3.2434653098978089E-16</v>
      </c>
      <c r="I71" s="53" t="s">
        <v>621</v>
      </c>
    </row>
    <row r="72" spans="1:12" x14ac:dyDescent="0.25">
      <c r="A72">
        <v>-6</v>
      </c>
      <c r="B72">
        <f t="shared" si="0"/>
        <v>36</v>
      </c>
      <c r="G72" s="39" t="s">
        <v>266</v>
      </c>
      <c r="H72" s="39">
        <v>-5.2631578947368085E-2</v>
      </c>
    </row>
    <row r="73" spans="1:12" x14ac:dyDescent="0.25">
      <c r="A73">
        <v>-5</v>
      </c>
      <c r="B73">
        <f t="shared" si="0"/>
        <v>25</v>
      </c>
      <c r="G73" s="39" t="s">
        <v>267</v>
      </c>
      <c r="H73" s="39">
        <v>34.36083041293773</v>
      </c>
    </row>
    <row r="74" spans="1:12" ht="15.75" thickBot="1" x14ac:dyDescent="0.3">
      <c r="A74">
        <v>-4</v>
      </c>
      <c r="B74">
        <f t="shared" si="0"/>
        <v>16</v>
      </c>
      <c r="G74" s="40" t="s">
        <v>268</v>
      </c>
      <c r="H74" s="40">
        <v>21</v>
      </c>
    </row>
    <row r="75" spans="1:12" x14ac:dyDescent="0.25">
      <c r="A75">
        <v>-3</v>
      </c>
      <c r="B75">
        <f t="shared" si="0"/>
        <v>9</v>
      </c>
    </row>
    <row r="76" spans="1:12" ht="15.75" thickBot="1" x14ac:dyDescent="0.3">
      <c r="A76">
        <v>-2</v>
      </c>
      <c r="B76">
        <f t="shared" si="0"/>
        <v>4</v>
      </c>
      <c r="G76" t="s">
        <v>269</v>
      </c>
    </row>
    <row r="77" spans="1:12" x14ac:dyDescent="0.25">
      <c r="A77">
        <v>-1</v>
      </c>
      <c r="B77">
        <f t="shared" si="0"/>
        <v>1</v>
      </c>
      <c r="G77" s="41"/>
      <c r="H77" s="41" t="s">
        <v>274</v>
      </c>
      <c r="I77" s="41" t="s">
        <v>275</v>
      </c>
      <c r="J77" s="41" t="s">
        <v>276</v>
      </c>
      <c r="K77" s="41" t="s">
        <v>277</v>
      </c>
      <c r="L77" s="41" t="s">
        <v>278</v>
      </c>
    </row>
    <row r="78" spans="1:12" x14ac:dyDescent="0.25">
      <c r="A78">
        <v>0</v>
      </c>
      <c r="B78">
        <f t="shared" si="0"/>
        <v>0</v>
      </c>
      <c r="G78" s="39" t="s">
        <v>270</v>
      </c>
      <c r="H78" s="39">
        <v>1</v>
      </c>
      <c r="I78" s="39">
        <v>7.2759576141834259E-12</v>
      </c>
      <c r="J78" s="39">
        <v>7.2759576141834259E-12</v>
      </c>
      <c r="K78" s="39">
        <v>6.162584088805839E-15</v>
      </c>
      <c r="L78" s="39">
        <v>0.99999993818274457</v>
      </c>
    </row>
    <row r="79" spans="1:12" x14ac:dyDescent="0.25">
      <c r="A79">
        <v>1</v>
      </c>
      <c r="B79">
        <f t="shared" si="0"/>
        <v>1</v>
      </c>
      <c r="G79" s="39" t="s">
        <v>271</v>
      </c>
      <c r="H79" s="39">
        <v>19</v>
      </c>
      <c r="I79" s="39">
        <v>22432.666666666664</v>
      </c>
      <c r="J79" s="39">
        <v>1180.6666666666665</v>
      </c>
      <c r="K79" s="39"/>
      <c r="L79" s="39"/>
    </row>
    <row r="80" spans="1:12" ht="15.75" thickBot="1" x14ac:dyDescent="0.3">
      <c r="A80">
        <v>2</v>
      </c>
      <c r="B80">
        <f t="shared" si="0"/>
        <v>4</v>
      </c>
      <c r="G80" s="40" t="s">
        <v>272</v>
      </c>
      <c r="H80" s="40">
        <v>20</v>
      </c>
      <c r="I80" s="40">
        <v>22432.666666666672</v>
      </c>
      <c r="J80" s="40"/>
      <c r="K80" s="40"/>
      <c r="L80" s="40"/>
    </row>
    <row r="81" spans="1:15" ht="15.75" thickBot="1" x14ac:dyDescent="0.3">
      <c r="A81">
        <v>3</v>
      </c>
      <c r="B81">
        <f t="shared" si="0"/>
        <v>9</v>
      </c>
    </row>
    <row r="82" spans="1:15" x14ac:dyDescent="0.25">
      <c r="A82">
        <v>4</v>
      </c>
      <c r="B82">
        <f t="shared" si="0"/>
        <v>16</v>
      </c>
      <c r="G82" s="41"/>
      <c r="H82" s="41" t="s">
        <v>279</v>
      </c>
      <c r="I82" s="41" t="s">
        <v>267</v>
      </c>
      <c r="J82" s="41" t="s">
        <v>280</v>
      </c>
      <c r="K82" s="41" t="s">
        <v>281</v>
      </c>
      <c r="L82" s="41" t="s">
        <v>282</v>
      </c>
      <c r="M82" s="41" t="s">
        <v>283</v>
      </c>
      <c r="N82" s="41" t="s">
        <v>284</v>
      </c>
      <c r="O82" s="41" t="s">
        <v>285</v>
      </c>
    </row>
    <row r="83" spans="1:15" x14ac:dyDescent="0.25">
      <c r="A83">
        <v>5</v>
      </c>
      <c r="B83">
        <f t="shared" si="0"/>
        <v>25</v>
      </c>
      <c r="G83" s="39" t="s">
        <v>273</v>
      </c>
      <c r="H83" s="39">
        <v>36.666666666666664</v>
      </c>
      <c r="I83" s="39">
        <v>7.4981479194679945</v>
      </c>
      <c r="J83" s="39">
        <v>4.8900964692182578</v>
      </c>
      <c r="K83" s="39">
        <v>1.0166498870416237E-4</v>
      </c>
      <c r="L83" s="39">
        <v>20.972862707708529</v>
      </c>
      <c r="M83" s="39">
        <v>52.360470625624799</v>
      </c>
      <c r="N83" s="39">
        <v>20.972862707708529</v>
      </c>
      <c r="O83" s="39">
        <v>52.360470625624799</v>
      </c>
    </row>
    <row r="84" spans="1:15" ht="15.75" thickBot="1" x14ac:dyDescent="0.3">
      <c r="A84">
        <v>6</v>
      </c>
      <c r="B84">
        <f t="shared" si="0"/>
        <v>36</v>
      </c>
      <c r="G84" s="40" t="s">
        <v>619</v>
      </c>
      <c r="H84" s="40">
        <v>7.6818548339095882E-16</v>
      </c>
      <c r="I84" s="40">
        <v>1.2382783747337804</v>
      </c>
      <c r="J84" s="40">
        <v>6.2036574252224365E-16</v>
      </c>
      <c r="K84" s="40">
        <v>1</v>
      </c>
      <c r="L84" s="40">
        <v>-2.5917464243714283</v>
      </c>
      <c r="M84" s="40">
        <v>2.5917464243714301</v>
      </c>
      <c r="N84" s="40">
        <v>-2.5917464243714283</v>
      </c>
      <c r="O84" s="40">
        <v>2.5917464243714301</v>
      </c>
    </row>
    <row r="85" spans="1:15" x14ac:dyDescent="0.25">
      <c r="A85">
        <v>7</v>
      </c>
      <c r="B85">
        <f t="shared" si="0"/>
        <v>49</v>
      </c>
      <c r="K85" t="s">
        <v>298</v>
      </c>
    </row>
    <row r="86" spans="1:15" x14ac:dyDescent="0.25">
      <c r="A86">
        <v>8</v>
      </c>
      <c r="B86">
        <f t="shared" si="0"/>
        <v>64</v>
      </c>
      <c r="K86" t="s">
        <v>622</v>
      </c>
    </row>
    <row r="87" spans="1:15" x14ac:dyDescent="0.25">
      <c r="A87">
        <v>9</v>
      </c>
      <c r="B87">
        <f t="shared" si="0"/>
        <v>81</v>
      </c>
      <c r="K87" s="45"/>
    </row>
    <row r="88" spans="1:15" x14ac:dyDescent="0.25">
      <c r="A88">
        <v>10</v>
      </c>
      <c r="B88">
        <f t="shared" si="0"/>
        <v>100</v>
      </c>
      <c r="K88" s="39" t="s">
        <v>623</v>
      </c>
    </row>
    <row r="89" spans="1:15" x14ac:dyDescent="0.25">
      <c r="K89" s="39" t="s">
        <v>301</v>
      </c>
    </row>
    <row r="90" spans="1:15" x14ac:dyDescent="0.25">
      <c r="K90" s="10"/>
    </row>
    <row r="91" spans="1:15" x14ac:dyDescent="0.25">
      <c r="K91" s="39" t="s">
        <v>624</v>
      </c>
    </row>
    <row r="92" spans="1:15" x14ac:dyDescent="0.25">
      <c r="K92" s="10"/>
    </row>
    <row r="93" spans="1:15" x14ac:dyDescent="0.25">
      <c r="K93" s="39" t="s">
        <v>625</v>
      </c>
    </row>
    <row r="94" spans="1:15" x14ac:dyDescent="0.25">
      <c r="K94" s="10"/>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zoomScaleNormal="100" workbookViewId="0">
      <selection activeCell="E1" sqref="E1"/>
    </sheetView>
  </sheetViews>
  <sheetFormatPr defaultRowHeight="15" x14ac:dyDescent="0.25"/>
  <sheetData>
    <row r="1" spans="1:5" ht="18" thickBot="1" x14ac:dyDescent="0.35">
      <c r="A1" s="54" t="s">
        <v>315</v>
      </c>
    </row>
    <row r="2" spans="1:5" ht="15.75" thickTop="1" x14ac:dyDescent="0.25"/>
    <row r="3" spans="1:5" x14ac:dyDescent="0.25">
      <c r="A3" t="s">
        <v>626</v>
      </c>
    </row>
    <row r="4" spans="1:5" x14ac:dyDescent="0.25">
      <c r="A4" t="s">
        <v>627</v>
      </c>
    </row>
    <row r="8" spans="1:5" x14ac:dyDescent="0.25">
      <c r="D8" t="s">
        <v>121</v>
      </c>
    </row>
    <row r="9" spans="1:5" x14ac:dyDescent="0.25">
      <c r="C9" t="s">
        <v>81</v>
      </c>
      <c r="D9">
        <f>INTERCEPT(C14:C25,B14:B25)</f>
        <v>83.267353672410991</v>
      </c>
    </row>
    <row r="10" spans="1:5" x14ac:dyDescent="0.25">
      <c r="C10" t="s">
        <v>82</v>
      </c>
      <c r="D10">
        <f>SLOPE(C14:C25,B14:B25)</f>
        <v>0.11737508839231385</v>
      </c>
    </row>
    <row r="12" spans="1:5" x14ac:dyDescent="0.25">
      <c r="D12" t="s">
        <v>80</v>
      </c>
    </row>
    <row r="13" spans="1:5" x14ac:dyDescent="0.25">
      <c r="A13" t="s">
        <v>78</v>
      </c>
      <c r="B13" t="s">
        <v>74</v>
      </c>
      <c r="C13" t="s">
        <v>75</v>
      </c>
      <c r="D13" t="s">
        <v>79</v>
      </c>
      <c r="E13" t="s">
        <v>83</v>
      </c>
    </row>
    <row r="14" spans="1:5" x14ac:dyDescent="0.25">
      <c r="A14" t="str">
        <f>datagathering!$C$28</f>
        <v>Atlanta</v>
      </c>
      <c r="B14">
        <f>datagathering!$D$28</f>
        <v>576</v>
      </c>
      <c r="C14" s="14">
        <f>datagathering!$E$28</f>
        <v>178</v>
      </c>
      <c r="D14" s="12">
        <f t="shared" ref="D14:D25" si="0">$D$9+$D$10*B14</f>
        <v>150.87540458638375</v>
      </c>
      <c r="E14" s="22">
        <f>C14-D14</f>
        <v>27.124595413616248</v>
      </c>
    </row>
    <row r="15" spans="1:5" x14ac:dyDescent="0.25">
      <c r="A15" t="str">
        <f>datagathering!$C$29</f>
        <v>Boston</v>
      </c>
      <c r="B15">
        <f>datagathering!$D$29</f>
        <v>370</v>
      </c>
      <c r="C15" s="14">
        <f>datagathering!$E$29</f>
        <v>138</v>
      </c>
      <c r="D15" s="12">
        <f t="shared" si="0"/>
        <v>126.69613637756711</v>
      </c>
      <c r="E15" s="22">
        <f t="shared" ref="E15:E25" si="1">C15-D15</f>
        <v>11.303863622432885</v>
      </c>
    </row>
    <row r="16" spans="1:5" x14ac:dyDescent="0.25">
      <c r="A16" t="str">
        <f>datagathering!$C$30</f>
        <v>Chicago</v>
      </c>
      <c r="B16">
        <f>datagathering!$D$30</f>
        <v>612</v>
      </c>
      <c r="C16" s="14">
        <f>datagathering!$E$30</f>
        <v>94</v>
      </c>
      <c r="D16" s="12">
        <f t="shared" si="0"/>
        <v>155.10090776850706</v>
      </c>
      <c r="E16" s="22">
        <f t="shared" si="1"/>
        <v>-61.100907768507057</v>
      </c>
    </row>
    <row r="17" spans="1:5" x14ac:dyDescent="0.25">
      <c r="A17" t="str">
        <f>datagathering!$C$31</f>
        <v>Dallas/Fort Worth</v>
      </c>
      <c r="B17">
        <f>datagathering!$D$31</f>
        <v>1216</v>
      </c>
      <c r="C17" s="14">
        <f>datagathering!$E$31</f>
        <v>278</v>
      </c>
      <c r="D17" s="12">
        <f t="shared" si="0"/>
        <v>225.99546115746463</v>
      </c>
      <c r="E17" s="22">
        <f t="shared" si="1"/>
        <v>52.004538842535368</v>
      </c>
    </row>
    <row r="18" spans="1:5" x14ac:dyDescent="0.25">
      <c r="A18" t="str">
        <f>datagathering!$C$32</f>
        <v>Detroit</v>
      </c>
      <c r="B18">
        <f>datagathering!$D$32</f>
        <v>409</v>
      </c>
      <c r="C18" s="14">
        <f>datagathering!$E$32</f>
        <v>158</v>
      </c>
      <c r="D18" s="12">
        <f t="shared" si="0"/>
        <v>131.27376482486736</v>
      </c>
      <c r="E18" s="22">
        <f t="shared" si="1"/>
        <v>26.726235175132643</v>
      </c>
    </row>
    <row r="19" spans="1:5" x14ac:dyDescent="0.25">
      <c r="A19" t="str">
        <f>datagathering!$C$33</f>
        <v>Denver</v>
      </c>
      <c r="B19">
        <f>datagathering!$D$33</f>
        <v>1502</v>
      </c>
      <c r="C19" s="14">
        <f>datagathering!$E$33</f>
        <v>258</v>
      </c>
      <c r="D19" s="12">
        <f t="shared" si="0"/>
        <v>259.5647364376664</v>
      </c>
      <c r="E19" s="22">
        <f t="shared" si="1"/>
        <v>-1.5647364376663973</v>
      </c>
    </row>
    <row r="20" spans="1:5" x14ac:dyDescent="0.25">
      <c r="A20" t="str">
        <f>datagathering!$C$34</f>
        <v>Miami</v>
      </c>
      <c r="B20">
        <f>datagathering!$D$34</f>
        <v>946</v>
      </c>
      <c r="C20" s="14">
        <f>datagathering!$E$34</f>
        <v>198</v>
      </c>
      <c r="D20" s="12">
        <f t="shared" si="0"/>
        <v>194.3041872915399</v>
      </c>
      <c r="E20" s="22">
        <f t="shared" si="1"/>
        <v>3.695812708460096</v>
      </c>
    </row>
    <row r="21" spans="1:5" x14ac:dyDescent="0.25">
      <c r="A21" t="str">
        <f>datagathering!$C$35</f>
        <v>New Orleans</v>
      </c>
      <c r="B21">
        <f>datagathering!$D$35</f>
        <v>998</v>
      </c>
      <c r="C21" s="14">
        <f>datagathering!$E$35</f>
        <v>188</v>
      </c>
      <c r="D21" s="12">
        <f t="shared" si="0"/>
        <v>200.40769188794022</v>
      </c>
      <c r="E21" s="22">
        <f t="shared" si="1"/>
        <v>-12.407691887940217</v>
      </c>
    </row>
    <row r="22" spans="1:5" x14ac:dyDescent="0.25">
      <c r="A22" t="str">
        <f>datagathering!$C$36</f>
        <v>New York</v>
      </c>
      <c r="B22">
        <f>datagathering!$D$36</f>
        <v>189</v>
      </c>
      <c r="C22" s="14">
        <f>datagathering!$E$36</f>
        <v>98</v>
      </c>
      <c r="D22" s="12">
        <f t="shared" si="0"/>
        <v>105.45124537855831</v>
      </c>
      <c r="E22" s="22">
        <f t="shared" si="1"/>
        <v>-7.4512453785583119</v>
      </c>
    </row>
    <row r="23" spans="1:5" x14ac:dyDescent="0.25">
      <c r="A23" t="str">
        <f>datagathering!$C$37</f>
        <v>Orlando</v>
      </c>
      <c r="B23">
        <f>datagathering!$D$37</f>
        <v>787</v>
      </c>
      <c r="C23" s="14">
        <f>datagathering!$E$37</f>
        <v>179</v>
      </c>
      <c r="D23" s="12">
        <f t="shared" si="0"/>
        <v>175.641548237162</v>
      </c>
      <c r="E23" s="22">
        <f t="shared" si="1"/>
        <v>3.3584517628380013</v>
      </c>
    </row>
    <row r="24" spans="1:5" x14ac:dyDescent="0.25">
      <c r="A24" t="str">
        <f>datagathering!$C$38</f>
        <v>Pittsburgh</v>
      </c>
      <c r="B24">
        <f>datagathering!$D$38</f>
        <v>210</v>
      </c>
      <c r="C24" s="14">
        <f>datagathering!$E$38</f>
        <v>138</v>
      </c>
      <c r="D24" s="12">
        <f t="shared" si="0"/>
        <v>107.9161222347969</v>
      </c>
      <c r="E24" s="22">
        <f t="shared" si="1"/>
        <v>30.083877765203098</v>
      </c>
    </row>
    <row r="25" spans="1:5" x14ac:dyDescent="0.25">
      <c r="A25" t="str">
        <f>datagathering!$C$39</f>
        <v>St. Louis</v>
      </c>
      <c r="B25">
        <f>datagathering!$D$39</f>
        <v>737</v>
      </c>
      <c r="C25" s="14">
        <f>datagathering!$E$39</f>
        <v>98</v>
      </c>
      <c r="D25" s="12">
        <f t="shared" si="0"/>
        <v>169.7727938175463</v>
      </c>
      <c r="E25" s="22">
        <f t="shared" si="1"/>
        <v>-71.772793817546301</v>
      </c>
    </row>
    <row r="27" spans="1:5" x14ac:dyDescent="0.25">
      <c r="A27" t="s">
        <v>649</v>
      </c>
    </row>
    <row r="28" spans="1:5" x14ac:dyDescent="0.25">
      <c r="A28" s="10"/>
    </row>
    <row r="29" spans="1:5" x14ac:dyDescent="0.25">
      <c r="A29" t="s">
        <v>316</v>
      </c>
    </row>
    <row r="30" spans="1:5" x14ac:dyDescent="0.25">
      <c r="A30" t="s">
        <v>650</v>
      </c>
    </row>
    <row r="31" spans="1:5" x14ac:dyDescent="0.25">
      <c r="A31" s="10"/>
    </row>
    <row r="32" spans="1:5" x14ac:dyDescent="0.25">
      <c r="A32" t="s">
        <v>317</v>
      </c>
    </row>
    <row r="33" spans="1:1" x14ac:dyDescent="0.25">
      <c r="A33" s="10"/>
    </row>
    <row r="34" spans="1:1" x14ac:dyDescent="0.25">
      <c r="A34" t="s">
        <v>318</v>
      </c>
    </row>
    <row r="35" spans="1:1" x14ac:dyDescent="0.25">
      <c r="A35" s="10"/>
    </row>
    <row r="36" spans="1:1" x14ac:dyDescent="0.25">
      <c r="A36" t="s">
        <v>319</v>
      </c>
    </row>
    <row r="37" spans="1:1" x14ac:dyDescent="0.25">
      <c r="A37" t="s">
        <v>320</v>
      </c>
    </row>
    <row r="38" spans="1:1" x14ac:dyDescent="0.25">
      <c r="A38" t="s">
        <v>323</v>
      </c>
    </row>
    <row r="39" spans="1:1" x14ac:dyDescent="0.25">
      <c r="A39" s="10"/>
    </row>
    <row r="41" spans="1:1" x14ac:dyDescent="0.25">
      <c r="A41" t="s">
        <v>631</v>
      </c>
    </row>
    <row r="42" spans="1:1" x14ac:dyDescent="0.25">
      <c r="A42" s="10"/>
    </row>
    <row r="43" spans="1:1" x14ac:dyDescent="0.25">
      <c r="A43" t="s">
        <v>345</v>
      </c>
    </row>
    <row r="44" spans="1:1" x14ac:dyDescent="0.25">
      <c r="A44" s="10"/>
    </row>
    <row r="45" spans="1:1" x14ac:dyDescent="0.25">
      <c r="A45" t="s">
        <v>632</v>
      </c>
    </row>
    <row r="46" spans="1:1" x14ac:dyDescent="0.25">
      <c r="A46" s="10"/>
    </row>
    <row r="47" spans="1:1" x14ac:dyDescent="0.25">
      <c r="A47" t="s">
        <v>346</v>
      </c>
    </row>
    <row r="48" spans="1:1" x14ac:dyDescent="0.25">
      <c r="A48" s="10"/>
    </row>
    <row r="50" spans="1:1" x14ac:dyDescent="0.25">
      <c r="A50" t="s">
        <v>628</v>
      </c>
    </row>
    <row r="51" spans="1:1" x14ac:dyDescent="0.25">
      <c r="A51" t="s">
        <v>629</v>
      </c>
    </row>
    <row r="53" spans="1:1" x14ac:dyDescent="0.25">
      <c r="A53" t="s">
        <v>354</v>
      </c>
    </row>
    <row r="54" spans="1:1" x14ac:dyDescent="0.25">
      <c r="A54" t="s">
        <v>355</v>
      </c>
    </row>
    <row r="56" spans="1:1" x14ac:dyDescent="0.25">
      <c r="A56" t="s">
        <v>633</v>
      </c>
    </row>
    <row r="58" spans="1:1" x14ac:dyDescent="0.25">
      <c r="A58" t="s">
        <v>630</v>
      </c>
    </row>
    <row r="59" spans="1:1" x14ac:dyDescent="0.25">
      <c r="A59" t="s">
        <v>347</v>
      </c>
    </row>
    <row r="60" spans="1:1" x14ac:dyDescent="0.25">
      <c r="A60" t="s">
        <v>321</v>
      </c>
    </row>
    <row r="61" spans="1:1" x14ac:dyDescent="0.25">
      <c r="A61" t="s">
        <v>322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85" zoomScaleNormal="85" workbookViewId="0">
      <selection activeCell="D1" sqref="D1"/>
    </sheetView>
  </sheetViews>
  <sheetFormatPr defaultRowHeight="15" x14ac:dyDescent="0.25"/>
  <cols>
    <col min="2" max="2" width="14.28515625" customWidth="1"/>
    <col min="3" max="3" width="14.42578125" customWidth="1"/>
    <col min="4" max="4" width="17.42578125" customWidth="1"/>
    <col min="5" max="5" width="17.140625" customWidth="1"/>
  </cols>
  <sheetData>
    <row r="1" spans="1:7" ht="18" thickBot="1" x14ac:dyDescent="0.35">
      <c r="A1" s="54" t="s">
        <v>324</v>
      </c>
    </row>
    <row r="2" spans="1:7" ht="15.75" thickTop="1" x14ac:dyDescent="0.25"/>
    <row r="3" spans="1:7" x14ac:dyDescent="0.25">
      <c r="A3" t="s">
        <v>327</v>
      </c>
    </row>
    <row r="4" spans="1:7" x14ac:dyDescent="0.25">
      <c r="A4" t="s">
        <v>330</v>
      </c>
    </row>
    <row r="5" spans="1:7" x14ac:dyDescent="0.25">
      <c r="A5" t="s">
        <v>331</v>
      </c>
    </row>
    <row r="6" spans="1:7" x14ac:dyDescent="0.25">
      <c r="A6" t="s">
        <v>634</v>
      </c>
    </row>
    <row r="7" spans="1:7" x14ac:dyDescent="0.25">
      <c r="A7" t="s">
        <v>495</v>
      </c>
    </row>
    <row r="8" spans="1:7" x14ac:dyDescent="0.25">
      <c r="D8" t="s">
        <v>334</v>
      </c>
      <c r="E8" t="s">
        <v>335</v>
      </c>
    </row>
    <row r="9" spans="1:7" x14ac:dyDescent="0.25">
      <c r="C9" t="s">
        <v>325</v>
      </c>
      <c r="D9" s="46">
        <v>1</v>
      </c>
      <c r="E9" s="46">
        <v>1</v>
      </c>
    </row>
    <row r="10" spans="1:7" x14ac:dyDescent="0.25">
      <c r="C10" t="s">
        <v>326</v>
      </c>
      <c r="D10" s="46">
        <v>0</v>
      </c>
      <c r="E10" s="46">
        <v>0</v>
      </c>
    </row>
    <row r="12" spans="1:7" x14ac:dyDescent="0.25">
      <c r="A12" t="s">
        <v>78</v>
      </c>
      <c r="B12" t="s">
        <v>74</v>
      </c>
      <c r="C12" t="s">
        <v>75</v>
      </c>
      <c r="D12" t="s">
        <v>328</v>
      </c>
      <c r="E12" t="s">
        <v>329</v>
      </c>
    </row>
    <row r="13" spans="1:7" x14ac:dyDescent="0.25">
      <c r="A13" t="str">
        <f>datagathering!$C$28</f>
        <v>Atlanta</v>
      </c>
      <c r="B13">
        <f>datagathering!$D$28</f>
        <v>576</v>
      </c>
      <c r="C13" s="14">
        <f>datagathering!$E$28</f>
        <v>178</v>
      </c>
      <c r="D13" s="15">
        <f>$D$10+$D$9*B13</f>
        <v>576</v>
      </c>
      <c r="E13">
        <f>$E$10+$E$9*C13</f>
        <v>178</v>
      </c>
      <c r="F13" s="12"/>
      <c r="G13" s="22"/>
    </row>
    <row r="14" spans="1:7" x14ac:dyDescent="0.25">
      <c r="A14" t="str">
        <f>datagathering!$C$29</f>
        <v>Boston</v>
      </c>
      <c r="B14">
        <f>datagathering!$D$29</f>
        <v>370</v>
      </c>
      <c r="C14" s="14">
        <f>datagathering!$E$29</f>
        <v>138</v>
      </c>
      <c r="D14" s="15">
        <f t="shared" ref="D14:D24" si="0">$D$10+$D$9*B14</f>
        <v>370</v>
      </c>
      <c r="E14">
        <f t="shared" ref="E14:E24" si="1">$E$10+$E$9*C14</f>
        <v>138</v>
      </c>
      <c r="F14" s="12"/>
      <c r="G14" s="22"/>
    </row>
    <row r="15" spans="1:7" x14ac:dyDescent="0.25">
      <c r="A15" t="str">
        <f>datagathering!$C$30</f>
        <v>Chicago</v>
      </c>
      <c r="B15">
        <f>datagathering!$D$30</f>
        <v>612</v>
      </c>
      <c r="C15" s="14">
        <f>datagathering!$E$30</f>
        <v>94</v>
      </c>
      <c r="D15" s="15">
        <f t="shared" si="0"/>
        <v>612</v>
      </c>
      <c r="E15">
        <f t="shared" si="1"/>
        <v>94</v>
      </c>
      <c r="F15" s="12"/>
      <c r="G15" s="22"/>
    </row>
    <row r="16" spans="1:7" x14ac:dyDescent="0.25">
      <c r="A16" t="str">
        <f>datagathering!$C$31</f>
        <v>Dallas/Fort Worth</v>
      </c>
      <c r="B16">
        <f>datagathering!$D$31</f>
        <v>1216</v>
      </c>
      <c r="C16" s="14">
        <f>datagathering!$E$31</f>
        <v>278</v>
      </c>
      <c r="D16" s="15">
        <f t="shared" si="0"/>
        <v>1216</v>
      </c>
      <c r="E16">
        <f t="shared" si="1"/>
        <v>278</v>
      </c>
      <c r="F16" s="12"/>
      <c r="G16" s="22"/>
    </row>
    <row r="17" spans="1:7" x14ac:dyDescent="0.25">
      <c r="A17" t="str">
        <f>datagathering!$C$32</f>
        <v>Detroit</v>
      </c>
      <c r="B17">
        <f>datagathering!$D$32</f>
        <v>409</v>
      </c>
      <c r="C17" s="14">
        <f>datagathering!$E$32</f>
        <v>158</v>
      </c>
      <c r="D17" s="15">
        <f t="shared" si="0"/>
        <v>409</v>
      </c>
      <c r="E17">
        <f t="shared" si="1"/>
        <v>158</v>
      </c>
      <c r="F17" s="12"/>
      <c r="G17" s="22"/>
    </row>
    <row r="18" spans="1:7" x14ac:dyDescent="0.25">
      <c r="A18" t="str">
        <f>datagathering!$C$33</f>
        <v>Denver</v>
      </c>
      <c r="B18">
        <f>datagathering!$D$33</f>
        <v>1502</v>
      </c>
      <c r="C18" s="14">
        <f>datagathering!$E$33</f>
        <v>258</v>
      </c>
      <c r="D18" s="15">
        <f t="shared" si="0"/>
        <v>1502</v>
      </c>
      <c r="E18">
        <f t="shared" si="1"/>
        <v>258</v>
      </c>
      <c r="F18" s="12"/>
      <c r="G18" s="22"/>
    </row>
    <row r="19" spans="1:7" x14ac:dyDescent="0.25">
      <c r="A19" t="str">
        <f>datagathering!$C$34</f>
        <v>Miami</v>
      </c>
      <c r="B19">
        <f>datagathering!$D$34</f>
        <v>946</v>
      </c>
      <c r="C19" s="14">
        <f>datagathering!$E$34</f>
        <v>198</v>
      </c>
      <c r="D19" s="15">
        <f t="shared" si="0"/>
        <v>946</v>
      </c>
      <c r="E19">
        <f t="shared" si="1"/>
        <v>198</v>
      </c>
      <c r="F19" s="12"/>
      <c r="G19" s="22"/>
    </row>
    <row r="20" spans="1:7" x14ac:dyDescent="0.25">
      <c r="A20" t="str">
        <f>datagathering!$C$35</f>
        <v>New Orleans</v>
      </c>
      <c r="B20">
        <f>datagathering!$D$35</f>
        <v>998</v>
      </c>
      <c r="C20" s="14">
        <f>datagathering!$E$35</f>
        <v>188</v>
      </c>
      <c r="D20" s="15">
        <f t="shared" si="0"/>
        <v>998</v>
      </c>
      <c r="E20">
        <f t="shared" si="1"/>
        <v>188</v>
      </c>
      <c r="F20" s="12"/>
      <c r="G20" s="22"/>
    </row>
    <row r="21" spans="1:7" x14ac:dyDescent="0.25">
      <c r="A21" t="str">
        <f>datagathering!$C$36</f>
        <v>New York</v>
      </c>
      <c r="B21">
        <f>datagathering!$D$36</f>
        <v>189</v>
      </c>
      <c r="C21" s="14">
        <f>datagathering!$E$36</f>
        <v>98</v>
      </c>
      <c r="D21" s="15">
        <f t="shared" si="0"/>
        <v>189</v>
      </c>
      <c r="E21">
        <f t="shared" si="1"/>
        <v>98</v>
      </c>
      <c r="F21" s="12"/>
      <c r="G21" s="22"/>
    </row>
    <row r="22" spans="1:7" x14ac:dyDescent="0.25">
      <c r="A22" t="str">
        <f>datagathering!$C$37</f>
        <v>Orlando</v>
      </c>
      <c r="B22">
        <f>datagathering!$D$37</f>
        <v>787</v>
      </c>
      <c r="C22" s="14">
        <f>datagathering!$E$37</f>
        <v>179</v>
      </c>
      <c r="D22" s="15">
        <f t="shared" si="0"/>
        <v>787</v>
      </c>
      <c r="E22">
        <f t="shared" si="1"/>
        <v>179</v>
      </c>
      <c r="F22" s="12"/>
      <c r="G22" s="22"/>
    </row>
    <row r="23" spans="1:7" x14ac:dyDescent="0.25">
      <c r="A23" t="str">
        <f>datagathering!$C$38</f>
        <v>Pittsburgh</v>
      </c>
      <c r="B23">
        <f>datagathering!$D$38</f>
        <v>210</v>
      </c>
      <c r="C23" s="14">
        <f>datagathering!$E$38</f>
        <v>138</v>
      </c>
      <c r="D23" s="15">
        <f t="shared" si="0"/>
        <v>210</v>
      </c>
      <c r="E23">
        <f t="shared" si="1"/>
        <v>138</v>
      </c>
      <c r="F23" s="12"/>
      <c r="G23" s="22"/>
    </row>
    <row r="24" spans="1:7" x14ac:dyDescent="0.25">
      <c r="A24" t="str">
        <f>datagathering!$C$39</f>
        <v>St. Louis</v>
      </c>
      <c r="B24">
        <f>datagathering!$D$39</f>
        <v>737</v>
      </c>
      <c r="C24" s="14">
        <f>datagathering!$E$39</f>
        <v>98</v>
      </c>
      <c r="D24" s="15">
        <f t="shared" si="0"/>
        <v>737</v>
      </c>
      <c r="E24">
        <f t="shared" si="1"/>
        <v>98</v>
      </c>
      <c r="F24" s="12"/>
      <c r="G24" s="22"/>
    </row>
    <row r="26" spans="1:7" x14ac:dyDescent="0.25">
      <c r="A26" t="s">
        <v>332</v>
      </c>
    </row>
    <row r="27" spans="1:7" x14ac:dyDescent="0.25">
      <c r="A27" t="s">
        <v>352</v>
      </c>
    </row>
    <row r="29" spans="1:7" x14ac:dyDescent="0.25">
      <c r="B29" t="s">
        <v>348</v>
      </c>
      <c r="C29" t="s">
        <v>349</v>
      </c>
      <c r="D29" t="s">
        <v>350</v>
      </c>
      <c r="E29" t="s">
        <v>351</v>
      </c>
    </row>
    <row r="30" spans="1:7" x14ac:dyDescent="0.25">
      <c r="A30" t="s">
        <v>88</v>
      </c>
      <c r="B30" s="37"/>
      <c r="C30" s="37"/>
      <c r="D30" s="37"/>
      <c r="E30" s="37"/>
    </row>
    <row r="31" spans="1:7" x14ac:dyDescent="0.25">
      <c r="A31" t="s">
        <v>167</v>
      </c>
      <c r="B31" s="37"/>
      <c r="C31" s="37"/>
      <c r="D31" s="37"/>
      <c r="E31" s="37"/>
    </row>
    <row r="32" spans="1:7" x14ac:dyDescent="0.25">
      <c r="A32" t="s">
        <v>333</v>
      </c>
      <c r="B32" s="37"/>
      <c r="C32" s="37"/>
      <c r="D32" s="37"/>
      <c r="E32" s="37"/>
    </row>
    <row r="34" spans="1:1" x14ac:dyDescent="0.25">
      <c r="A34" t="s">
        <v>336</v>
      </c>
    </row>
    <row r="35" spans="1:1" x14ac:dyDescent="0.25">
      <c r="A35" s="10"/>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workbookViewId="0">
      <selection activeCell="F1" sqref="F1"/>
    </sheetView>
  </sheetViews>
  <sheetFormatPr defaultRowHeight="15" x14ac:dyDescent="0.25"/>
  <sheetData>
    <row r="1" spans="1:2" ht="18" thickBot="1" x14ac:dyDescent="0.35">
      <c r="A1" s="54" t="s">
        <v>353</v>
      </c>
    </row>
    <row r="2" spans="1:2" ht="15.75" thickTop="1" x14ac:dyDescent="0.25"/>
    <row r="3" spans="1:2" x14ac:dyDescent="0.25">
      <c r="B3" t="s">
        <v>356</v>
      </c>
    </row>
    <row r="4" spans="1:2" x14ac:dyDescent="0.25">
      <c r="B4" t="s">
        <v>357</v>
      </c>
    </row>
    <row r="6" spans="1:2" x14ac:dyDescent="0.25">
      <c r="B6" t="s">
        <v>361</v>
      </c>
    </row>
    <row r="7" spans="1:2" x14ac:dyDescent="0.25">
      <c r="B7" t="s">
        <v>358</v>
      </c>
    </row>
    <row r="8" spans="1:2" x14ac:dyDescent="0.25">
      <c r="B8" s="10"/>
    </row>
    <row r="9" spans="1:2" x14ac:dyDescent="0.25">
      <c r="B9" t="s">
        <v>359</v>
      </c>
    </row>
    <row r="10" spans="1:2" x14ac:dyDescent="0.25">
      <c r="B10" s="10"/>
    </row>
    <row r="11" spans="1:2" x14ac:dyDescent="0.25">
      <c r="B11" t="s">
        <v>360</v>
      </c>
    </row>
    <row r="12" spans="1:2" x14ac:dyDescent="0.25">
      <c r="B12" s="10"/>
    </row>
    <row r="14" spans="1:2" x14ac:dyDescent="0.25">
      <c r="B14" t="s">
        <v>362</v>
      </c>
    </row>
    <row r="15" spans="1:2" x14ac:dyDescent="0.25">
      <c r="B15" t="s">
        <v>363</v>
      </c>
    </row>
    <row r="16" spans="1:2" x14ac:dyDescent="0.25">
      <c r="B16" t="s">
        <v>364</v>
      </c>
    </row>
    <row r="17" spans="2:7" x14ac:dyDescent="0.25">
      <c r="B17" t="s">
        <v>365</v>
      </c>
    </row>
    <row r="18" spans="2:7" x14ac:dyDescent="0.25">
      <c r="B18" t="s">
        <v>366</v>
      </c>
    </row>
    <row r="19" spans="2:7" x14ac:dyDescent="0.25">
      <c r="B19" s="10"/>
    </row>
    <row r="20" spans="2:7" x14ac:dyDescent="0.25">
      <c r="B20" t="s">
        <v>388</v>
      </c>
    </row>
    <row r="21" spans="2:7" x14ac:dyDescent="0.25">
      <c r="B21" s="10"/>
    </row>
    <row r="22" spans="2:7" x14ac:dyDescent="0.25">
      <c r="B22" t="s">
        <v>367</v>
      </c>
    </row>
    <row r="23" spans="2:7" x14ac:dyDescent="0.25">
      <c r="B23" t="s">
        <v>368</v>
      </c>
    </row>
    <row r="24" spans="2:7" x14ac:dyDescent="0.25">
      <c r="B24" t="s">
        <v>369</v>
      </c>
    </row>
    <row r="25" spans="2:7" x14ac:dyDescent="0.25">
      <c r="B25" t="s">
        <v>370</v>
      </c>
    </row>
    <row r="27" spans="2:7" x14ac:dyDescent="0.25">
      <c r="B27" t="s">
        <v>371</v>
      </c>
    </row>
    <row r="28" spans="2:7" x14ac:dyDescent="0.25">
      <c r="B28" t="s">
        <v>372</v>
      </c>
      <c r="C28">
        <f>AVERAGE(C31:C42)</f>
        <v>712.66666666666663</v>
      </c>
      <c r="D28">
        <f>AVERAGE(D31:D42)</f>
        <v>166.91666666666666</v>
      </c>
    </row>
    <row r="29" spans="2:7" x14ac:dyDescent="0.25">
      <c r="B29" t="s">
        <v>373</v>
      </c>
      <c r="C29">
        <f>STDEV(C31:C42)</f>
        <v>402.68583137214898</v>
      </c>
      <c r="D29">
        <f>STDEV(D31:D42)</f>
        <v>59.454273236333549</v>
      </c>
    </row>
    <row r="30" spans="2:7" x14ac:dyDescent="0.25">
      <c r="B30" t="s">
        <v>78</v>
      </c>
      <c r="C30" t="s">
        <v>74</v>
      </c>
      <c r="D30" t="s">
        <v>75</v>
      </c>
      <c r="E30" t="s">
        <v>374</v>
      </c>
      <c r="F30" t="s">
        <v>375</v>
      </c>
      <c r="G30" t="s">
        <v>635</v>
      </c>
    </row>
    <row r="31" spans="2:7" x14ac:dyDescent="0.25">
      <c r="B31" t="str">
        <f>datagathering!$C$28</f>
        <v>Atlanta</v>
      </c>
      <c r="C31">
        <f>datagathering!$D$28</f>
        <v>576</v>
      </c>
      <c r="D31" s="14">
        <f>datagathering!$E$28</f>
        <v>178</v>
      </c>
      <c r="E31">
        <f>(C31-C$28)/C$29</f>
        <v>-0.339387820527422</v>
      </c>
      <c r="F31">
        <f>(D31-D$28)/D$29</f>
        <v>0.18641777503992973</v>
      </c>
      <c r="G31">
        <f>E31*F31</f>
        <v>-6.3267922378373004E-2</v>
      </c>
    </row>
    <row r="32" spans="2:7" x14ac:dyDescent="0.25">
      <c r="B32" t="str">
        <f>datagathering!$C$29</f>
        <v>Boston</v>
      </c>
      <c r="C32">
        <f>datagathering!$D$29</f>
        <v>370</v>
      </c>
      <c r="D32" s="14">
        <f>datagathering!$E$29</f>
        <v>138</v>
      </c>
      <c r="E32">
        <f t="shared" ref="E32:F42" si="0">(C32-C$28)/C$29</f>
        <v>-0.85095287683460952</v>
      </c>
      <c r="F32">
        <f t="shared" si="0"/>
        <v>-0.48636817999139503</v>
      </c>
      <c r="G32">
        <f t="shared" ref="G32:G42" si="1">E32*F32</f>
        <v>0.41387640196449077</v>
      </c>
    </row>
    <row r="33" spans="2:7" x14ac:dyDescent="0.25">
      <c r="B33" t="str">
        <f>datagathering!$C$30</f>
        <v>Chicago</v>
      </c>
      <c r="C33">
        <f>datagathering!$D$30</f>
        <v>612</v>
      </c>
      <c r="D33" s="14">
        <f>datagathering!$E$30</f>
        <v>94</v>
      </c>
      <c r="E33">
        <f t="shared" si="0"/>
        <v>-0.24998810194946694</v>
      </c>
      <c r="F33">
        <f t="shared" si="0"/>
        <v>-1.2264327305258522</v>
      </c>
      <c r="G33">
        <f t="shared" si="1"/>
        <v>0.30659359047285983</v>
      </c>
    </row>
    <row r="34" spans="2:7" x14ac:dyDescent="0.25">
      <c r="B34" t="str">
        <f>datagathering!$C$31</f>
        <v>Dallas/Fort Worth</v>
      </c>
      <c r="C34">
        <f>datagathering!$D$31</f>
        <v>1216</v>
      </c>
      <c r="D34" s="14">
        <f>datagathering!$E$31</f>
        <v>278</v>
      </c>
      <c r="E34">
        <f t="shared" si="0"/>
        <v>1.2499405097473353</v>
      </c>
      <c r="F34">
        <f t="shared" si="0"/>
        <v>1.8683826626182418</v>
      </c>
      <c r="G34">
        <f t="shared" si="1"/>
        <v>2.3353671777161287</v>
      </c>
    </row>
    <row r="35" spans="2:7" x14ac:dyDescent="0.25">
      <c r="B35" t="str">
        <f>datagathering!$C$32</f>
        <v>Detroit</v>
      </c>
      <c r="C35">
        <f>datagathering!$D$32</f>
        <v>409</v>
      </c>
      <c r="D35" s="14">
        <f>datagathering!$E$32</f>
        <v>158</v>
      </c>
      <c r="E35">
        <f t="shared" si="0"/>
        <v>-0.75410318170849144</v>
      </c>
      <c r="F35">
        <f t="shared" si="0"/>
        <v>-0.14997520247573265</v>
      </c>
      <c r="G35">
        <f t="shared" si="1"/>
        <v>0.11309677736432522</v>
      </c>
    </row>
    <row r="36" spans="2:7" x14ac:dyDescent="0.25">
      <c r="B36" t="str">
        <f>datagathering!$C$33</f>
        <v>Denver</v>
      </c>
      <c r="C36">
        <f>datagathering!$D$33</f>
        <v>1502</v>
      </c>
      <c r="D36" s="14">
        <f>datagathering!$E$33</f>
        <v>258</v>
      </c>
      <c r="E36">
        <f t="shared" si="0"/>
        <v>1.9601716073388673</v>
      </c>
      <c r="F36">
        <f t="shared" si="0"/>
        <v>1.5319896851025794</v>
      </c>
      <c r="G36">
        <f t="shared" si="1"/>
        <v>3.0029626834740881</v>
      </c>
    </row>
    <row r="37" spans="2:7" x14ac:dyDescent="0.25">
      <c r="B37" t="str">
        <f>datagathering!$C$34</f>
        <v>Miami</v>
      </c>
      <c r="C37">
        <f>datagathering!$D$34</f>
        <v>946</v>
      </c>
      <c r="D37" s="14">
        <f>datagathering!$E$34</f>
        <v>198</v>
      </c>
      <c r="E37">
        <f t="shared" si="0"/>
        <v>0.57944262041267203</v>
      </c>
      <c r="F37">
        <f t="shared" si="0"/>
        <v>0.52281075255559217</v>
      </c>
      <c r="G37">
        <f t="shared" si="1"/>
        <v>0.30293883244073339</v>
      </c>
    </row>
    <row r="38" spans="2:7" x14ac:dyDescent="0.25">
      <c r="B38" t="str">
        <f>datagathering!$C$35</f>
        <v>New Orleans</v>
      </c>
      <c r="C38">
        <f>datagathering!$D$35</f>
        <v>998</v>
      </c>
      <c r="D38" s="14">
        <f>datagathering!$E$35</f>
        <v>188</v>
      </c>
      <c r="E38">
        <f t="shared" si="0"/>
        <v>0.70857554724749605</v>
      </c>
      <c r="F38">
        <f t="shared" si="0"/>
        <v>0.35461426379776095</v>
      </c>
      <c r="G38">
        <f t="shared" si="1"/>
        <v>0.25127099603226638</v>
      </c>
    </row>
    <row r="39" spans="2:7" x14ac:dyDescent="0.25">
      <c r="B39" t="str">
        <f>datagathering!$C$36</f>
        <v>New York</v>
      </c>
      <c r="C39">
        <f>datagathering!$D$36</f>
        <v>189</v>
      </c>
      <c r="D39" s="14">
        <f>datagathering!$E$36</f>
        <v>98</v>
      </c>
      <c r="E39">
        <f t="shared" si="0"/>
        <v>-1.3004347952404394</v>
      </c>
      <c r="F39">
        <f t="shared" si="0"/>
        <v>-1.1591541350227199</v>
      </c>
      <c r="G39">
        <f t="shared" si="1"/>
        <v>1.5074043702303794</v>
      </c>
    </row>
    <row r="40" spans="2:7" x14ac:dyDescent="0.25">
      <c r="B40" t="str">
        <f>datagathering!$C$37</f>
        <v>Orlando</v>
      </c>
      <c r="C40">
        <f>datagathering!$D$37</f>
        <v>787</v>
      </c>
      <c r="D40" s="14">
        <f>datagathering!$E$37</f>
        <v>179</v>
      </c>
      <c r="E40">
        <f t="shared" si="0"/>
        <v>0.184593863360037</v>
      </c>
      <c r="F40">
        <f t="shared" si="0"/>
        <v>0.20323742391571287</v>
      </c>
      <c r="G40">
        <f t="shared" si="1"/>
        <v>3.7516381259943013E-2</v>
      </c>
    </row>
    <row r="41" spans="2:7" x14ac:dyDescent="0.25">
      <c r="B41" t="str">
        <f>datagathering!$C$38</f>
        <v>Pittsburgh</v>
      </c>
      <c r="C41">
        <f>datagathering!$D$38</f>
        <v>210</v>
      </c>
      <c r="D41" s="14">
        <f>datagathering!$E$38</f>
        <v>138</v>
      </c>
      <c r="E41">
        <f t="shared" si="0"/>
        <v>-1.2482849594032988</v>
      </c>
      <c r="F41">
        <f t="shared" si="0"/>
        <v>-0.48636817999139503</v>
      </c>
      <c r="G41">
        <f t="shared" si="1"/>
        <v>0.60712608381561484</v>
      </c>
    </row>
    <row r="42" spans="2:7" x14ac:dyDescent="0.25">
      <c r="B42" t="str">
        <f>datagathering!$C$39</f>
        <v>St. Louis</v>
      </c>
      <c r="C42">
        <f>datagathering!$D$39</f>
        <v>737</v>
      </c>
      <c r="D42" s="14">
        <f>datagathering!$E$39</f>
        <v>98</v>
      </c>
      <c r="E42">
        <f t="shared" si="0"/>
        <v>6.0427587557321596E-2</v>
      </c>
      <c r="F42">
        <f t="shared" si="0"/>
        <v>-1.1591541350227199</v>
      </c>
      <c r="G42">
        <f t="shared" si="1"/>
        <v>-7.0044887986516785E-2</v>
      </c>
    </row>
    <row r="45" spans="2:7" x14ac:dyDescent="0.25">
      <c r="B45" t="s">
        <v>376</v>
      </c>
    </row>
    <row r="46" spans="2:7" x14ac:dyDescent="0.25">
      <c r="B46" t="s">
        <v>377</v>
      </c>
    </row>
    <row r="48" spans="2:7" x14ac:dyDescent="0.25">
      <c r="B48" t="s">
        <v>378</v>
      </c>
    </row>
    <row r="49" spans="2:2" x14ac:dyDescent="0.25">
      <c r="B49" t="s">
        <v>379</v>
      </c>
    </row>
    <row r="50" spans="2:2" x14ac:dyDescent="0.25">
      <c r="B50" s="10"/>
    </row>
    <row r="51" spans="2:2" x14ac:dyDescent="0.25">
      <c r="B51" t="s">
        <v>380</v>
      </c>
    </row>
    <row r="52" spans="2:2" x14ac:dyDescent="0.25">
      <c r="B52" s="10"/>
    </row>
    <row r="53" spans="2:2" x14ac:dyDescent="0.25">
      <c r="B53" t="s">
        <v>381</v>
      </c>
    </row>
    <row r="54" spans="2:2" x14ac:dyDescent="0.25">
      <c r="B54" s="10"/>
    </row>
    <row r="56" spans="2:2" x14ac:dyDescent="0.25">
      <c r="B56" t="s">
        <v>382</v>
      </c>
    </row>
    <row r="57" spans="2:2" x14ac:dyDescent="0.25">
      <c r="B57" s="10"/>
    </row>
    <row r="58" spans="2:2" x14ac:dyDescent="0.25">
      <c r="B58" t="s">
        <v>383</v>
      </c>
    </row>
    <row r="59" spans="2:2" x14ac:dyDescent="0.25">
      <c r="B59" s="10"/>
    </row>
    <row r="61" spans="2:2" x14ac:dyDescent="0.25">
      <c r="B61" t="s">
        <v>636</v>
      </c>
    </row>
    <row r="62" spans="2:2" x14ac:dyDescent="0.25">
      <c r="B62">
        <f>SUM(G31:G42)</f>
        <v>8.7448404844059393</v>
      </c>
    </row>
    <row r="63" spans="2:2" x14ac:dyDescent="0.25">
      <c r="B63" t="s">
        <v>637</v>
      </c>
    </row>
    <row r="64" spans="2:2" x14ac:dyDescent="0.25">
      <c r="B64">
        <f>SUMPRODUCT(E31:E42,F31:F42)</f>
        <v>8.7448404844059393</v>
      </c>
    </row>
    <row r="66" spans="1:6" x14ac:dyDescent="0.25">
      <c r="B66" t="s">
        <v>384</v>
      </c>
    </row>
    <row r="67" spans="1:6" x14ac:dyDescent="0.25">
      <c r="B67" t="s">
        <v>385</v>
      </c>
    </row>
    <row r="68" spans="1:6" x14ac:dyDescent="0.25">
      <c r="B68">
        <f>B64/(COUNT(E31:E42)-1)</f>
        <v>0.79498549858235812</v>
      </c>
    </row>
    <row r="69" spans="1:6" x14ac:dyDescent="0.25">
      <c r="B69" t="s">
        <v>386</v>
      </c>
    </row>
    <row r="70" spans="1:6" x14ac:dyDescent="0.25">
      <c r="B70" t="s">
        <v>387</v>
      </c>
    </row>
    <row r="71" spans="1:6" x14ac:dyDescent="0.25">
      <c r="B71" t="s">
        <v>404</v>
      </c>
    </row>
    <row r="73" spans="1:6" x14ac:dyDescent="0.25">
      <c r="B73" t="s">
        <v>389</v>
      </c>
    </row>
    <row r="75" spans="1:6" x14ac:dyDescent="0.25">
      <c r="B75" t="s">
        <v>372</v>
      </c>
      <c r="C75">
        <f>AVERAGE(C78:C90)</f>
        <v>4</v>
      </c>
      <c r="D75">
        <f>AVERAGE(D78:D90)</f>
        <v>5</v>
      </c>
    </row>
    <row r="76" spans="1:6" x14ac:dyDescent="0.25">
      <c r="B76" t="s">
        <v>373</v>
      </c>
      <c r="C76">
        <f>STDEV(C78:C90)</f>
        <v>2.6457513110645907</v>
      </c>
      <c r="D76">
        <f>STDEV(D78:D90)</f>
        <v>4</v>
      </c>
    </row>
    <row r="77" spans="1:6" x14ac:dyDescent="0.25">
      <c r="C77" t="s">
        <v>55</v>
      </c>
      <c r="D77" t="s">
        <v>390</v>
      </c>
      <c r="E77" t="s">
        <v>374</v>
      </c>
      <c r="F77" t="s">
        <v>375</v>
      </c>
    </row>
    <row r="78" spans="1:6" x14ac:dyDescent="0.25">
      <c r="A78" t="s">
        <v>638</v>
      </c>
      <c r="C78" s="61">
        <v>2</v>
      </c>
      <c r="D78" s="62">
        <v>1</v>
      </c>
      <c r="E78">
        <f>(C78-C$75)/C$76</f>
        <v>-0.7559289460184544</v>
      </c>
      <c r="F78">
        <f t="shared" ref="F78:F80" si="2">(D78-D$75)/D$76</f>
        <v>-1</v>
      </c>
    </row>
    <row r="79" spans="1:6" x14ac:dyDescent="0.25">
      <c r="A79" t="s">
        <v>639</v>
      </c>
      <c r="C79" s="16">
        <v>3</v>
      </c>
      <c r="D79" s="63">
        <v>5</v>
      </c>
      <c r="E79">
        <f t="shared" ref="E79:E80" si="3">(C79-C$75)/C$76</f>
        <v>-0.3779644730092272</v>
      </c>
      <c r="F79">
        <f t="shared" si="2"/>
        <v>0</v>
      </c>
    </row>
    <row r="80" spans="1:6" x14ac:dyDescent="0.25">
      <c r="A80" t="s">
        <v>640</v>
      </c>
      <c r="C80" s="64">
        <v>7</v>
      </c>
      <c r="D80" s="65">
        <v>9</v>
      </c>
      <c r="E80">
        <f t="shared" si="3"/>
        <v>1.1338934190276817</v>
      </c>
      <c r="F80">
        <f t="shared" si="2"/>
        <v>1</v>
      </c>
    </row>
    <row r="81" spans="2:9" x14ac:dyDescent="0.25">
      <c r="B81" t="s">
        <v>391</v>
      </c>
    </row>
    <row r="82" spans="2:9" x14ac:dyDescent="0.25">
      <c r="B82">
        <f>SUMPRODUCT(E78:E80,F78:F80)/(COUNT(E78:E80)-1)</f>
        <v>0.94491118252306805</v>
      </c>
    </row>
    <row r="83" spans="2:9" x14ac:dyDescent="0.25">
      <c r="B83" t="s">
        <v>445</v>
      </c>
    </row>
    <row r="84" spans="2:9" x14ac:dyDescent="0.25">
      <c r="B84">
        <f>CORREL(C78:C80,D78:D80)</f>
        <v>0.94491118252306794</v>
      </c>
    </row>
    <row r="85" spans="2:9" x14ac:dyDescent="0.25">
      <c r="B85" t="s">
        <v>401</v>
      </c>
    </row>
    <row r="86" spans="2:9" x14ac:dyDescent="0.25">
      <c r="B86" s="10"/>
      <c r="C86" t="s">
        <v>394</v>
      </c>
      <c r="H86" s="10"/>
    </row>
    <row r="87" spans="2:9" x14ac:dyDescent="0.25">
      <c r="B87" t="s">
        <v>392</v>
      </c>
    </row>
    <row r="88" spans="2:9" x14ac:dyDescent="0.25">
      <c r="B88" s="10"/>
      <c r="C88" t="s">
        <v>394</v>
      </c>
      <c r="H88" s="10"/>
    </row>
    <row r="89" spans="2:9" x14ac:dyDescent="0.25">
      <c r="B89" t="s">
        <v>393</v>
      </c>
    </row>
    <row r="90" spans="2:9" x14ac:dyDescent="0.25">
      <c r="B90" s="10"/>
    </row>
    <row r="91" spans="2:9" x14ac:dyDescent="0.25">
      <c r="B91" t="s">
        <v>395</v>
      </c>
    </row>
    <row r="92" spans="2:9" x14ac:dyDescent="0.25">
      <c r="B92" s="10"/>
    </row>
    <row r="93" spans="2:9" x14ac:dyDescent="0.25">
      <c r="B93" t="s">
        <v>397</v>
      </c>
    </row>
    <row r="94" spans="2:9" x14ac:dyDescent="0.25">
      <c r="B94" s="10"/>
      <c r="C94" t="s">
        <v>400</v>
      </c>
      <c r="I94" s="10"/>
    </row>
    <row r="95" spans="2:9" x14ac:dyDescent="0.25">
      <c r="B95" t="s">
        <v>396</v>
      </c>
    </row>
    <row r="96" spans="2:9" x14ac:dyDescent="0.25">
      <c r="B96" s="10"/>
    </row>
    <row r="97" spans="2:2" x14ac:dyDescent="0.25">
      <c r="B97" t="s">
        <v>398</v>
      </c>
    </row>
    <row r="98" spans="2:2" x14ac:dyDescent="0.25">
      <c r="B98" s="10"/>
    </row>
    <row r="99" spans="2:2" x14ac:dyDescent="0.25">
      <c r="B99" t="s">
        <v>399</v>
      </c>
    </row>
    <row r="100" spans="2:2" x14ac:dyDescent="0.25">
      <c r="B100" s="10"/>
    </row>
    <row r="101" spans="2:2" x14ac:dyDescent="0.25">
      <c r="B101" t="s">
        <v>402</v>
      </c>
    </row>
    <row r="102" spans="2:2" x14ac:dyDescent="0.25">
      <c r="B102" s="52">
        <f>B82^2</f>
        <v>0.89285714285714279</v>
      </c>
    </row>
    <row r="103" spans="2:2" x14ac:dyDescent="0.25">
      <c r="B103" t="s">
        <v>403</v>
      </c>
    </row>
    <row r="104" spans="2:2" x14ac:dyDescent="0.25">
      <c r="B104" s="10"/>
    </row>
    <row r="106" spans="2:2" x14ac:dyDescent="0.25">
      <c r="B106" t="s">
        <v>405</v>
      </c>
    </row>
    <row r="107" spans="2:2" x14ac:dyDescent="0.25">
      <c r="B107" t="s">
        <v>406</v>
      </c>
    </row>
    <row r="108" spans="2:2" x14ac:dyDescent="0.25">
      <c r="B108" t="s">
        <v>407</v>
      </c>
    </row>
    <row r="111" spans="2:2" x14ac:dyDescent="0.25">
      <c r="B111" t="s">
        <v>408</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A3" sqref="A3"/>
    </sheetView>
  </sheetViews>
  <sheetFormatPr defaultRowHeight="15" x14ac:dyDescent="0.25"/>
  <sheetData>
    <row r="1" spans="1:2" ht="18" thickBot="1" x14ac:dyDescent="0.35">
      <c r="A1" s="54" t="s">
        <v>423</v>
      </c>
    </row>
    <row r="2" spans="1:2" ht="15.75" thickTop="1" x14ac:dyDescent="0.25"/>
    <row r="3" spans="1:2" x14ac:dyDescent="0.25">
      <c r="B3" t="s">
        <v>641</v>
      </c>
    </row>
    <row r="5" spans="1:2" x14ac:dyDescent="0.25">
      <c r="B5" t="s">
        <v>424</v>
      </c>
    </row>
    <row r="7" spans="1:2" x14ac:dyDescent="0.25">
      <c r="B7" t="s">
        <v>426</v>
      </c>
    </row>
    <row r="8" spans="1:2" x14ac:dyDescent="0.25">
      <c r="B8" s="25" t="s">
        <v>425</v>
      </c>
    </row>
    <row r="10" spans="1:2" x14ac:dyDescent="0.25">
      <c r="B10" t="s">
        <v>427</v>
      </c>
    </row>
    <row r="11" spans="1:2" x14ac:dyDescent="0.25">
      <c r="B11" t="s">
        <v>428</v>
      </c>
    </row>
    <row r="12" spans="1:2" x14ac:dyDescent="0.25">
      <c r="B12" t="s">
        <v>429</v>
      </c>
    </row>
    <row r="14" spans="1:2" x14ac:dyDescent="0.25">
      <c r="B14" t="s">
        <v>430</v>
      </c>
    </row>
    <row r="16" spans="1:2" x14ac:dyDescent="0.25">
      <c r="B16" t="s">
        <v>431</v>
      </c>
    </row>
    <row r="18" spans="2:2" x14ac:dyDescent="0.25">
      <c r="B18" t="s">
        <v>432</v>
      </c>
    </row>
    <row r="20" spans="2:2" x14ac:dyDescent="0.25">
      <c r="B20" t="s">
        <v>433</v>
      </c>
    </row>
    <row r="21" spans="2:2" x14ac:dyDescent="0.25">
      <c r="B21" t="s">
        <v>434</v>
      </c>
    </row>
    <row r="22" spans="2:2" x14ac:dyDescent="0.25">
      <c r="B22" t="s">
        <v>435</v>
      </c>
    </row>
    <row r="23" spans="2:2" x14ac:dyDescent="0.25">
      <c r="B23" t="s">
        <v>436</v>
      </c>
    </row>
    <row r="25" spans="2:2" x14ac:dyDescent="0.25">
      <c r="B25" t="s">
        <v>437</v>
      </c>
    </row>
    <row r="27" spans="2:2" x14ac:dyDescent="0.25">
      <c r="B27" t="s">
        <v>438</v>
      </c>
    </row>
    <row r="28" spans="2:2" x14ac:dyDescent="0.25">
      <c r="B28" t="s">
        <v>439</v>
      </c>
    </row>
    <row r="29" spans="2:2" x14ac:dyDescent="0.25">
      <c r="B29" t="s">
        <v>440</v>
      </c>
    </row>
    <row r="30" spans="2:2" x14ac:dyDescent="0.25">
      <c r="B30" t="s">
        <v>442</v>
      </c>
    </row>
    <row r="31" spans="2:2" x14ac:dyDescent="0.25">
      <c r="B31" t="s">
        <v>441</v>
      </c>
    </row>
    <row r="33" spans="2:2" x14ac:dyDescent="0.25">
      <c r="B33" t="s">
        <v>443</v>
      </c>
    </row>
    <row r="34" spans="2:2" x14ac:dyDescent="0.25">
      <c r="B34" t="s">
        <v>444</v>
      </c>
    </row>
    <row r="35" spans="2:2" x14ac:dyDescent="0.25">
      <c r="B35" t="s">
        <v>437</v>
      </c>
    </row>
    <row r="36" spans="2:2" x14ac:dyDescent="0.25">
      <c r="B36" t="s">
        <v>441</v>
      </c>
    </row>
  </sheetData>
  <hyperlinks>
    <hyperlink ref="B8" r:id="rId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selection activeCell="F1" sqref="F1"/>
    </sheetView>
  </sheetViews>
  <sheetFormatPr defaultRowHeight="15" x14ac:dyDescent="0.25"/>
  <cols>
    <col min="2" max="2" width="13.42578125" customWidth="1"/>
    <col min="3" max="3" width="14.85546875" bestFit="1" customWidth="1"/>
  </cols>
  <sheetData>
    <row r="1" spans="1:12" ht="18" thickBot="1" x14ac:dyDescent="0.35">
      <c r="A1" s="54" t="s">
        <v>410</v>
      </c>
    </row>
    <row r="2" spans="1:12" ht="15.75" thickTop="1" x14ac:dyDescent="0.25"/>
    <row r="3" spans="1:12" x14ac:dyDescent="0.25">
      <c r="A3" t="s">
        <v>409</v>
      </c>
    </row>
    <row r="5" spans="1:12" x14ac:dyDescent="0.25">
      <c r="A5" t="s">
        <v>421</v>
      </c>
      <c r="L5" t="s">
        <v>418</v>
      </c>
    </row>
    <row r="7" spans="1:12" x14ac:dyDescent="0.25">
      <c r="B7" t="s">
        <v>411</v>
      </c>
      <c r="C7" t="s">
        <v>419</v>
      </c>
      <c r="D7" t="s">
        <v>420</v>
      </c>
    </row>
    <row r="8" spans="1:12" x14ac:dyDescent="0.25">
      <c r="B8" t="s">
        <v>412</v>
      </c>
      <c r="C8">
        <v>15</v>
      </c>
      <c r="D8">
        <v>302.38</v>
      </c>
    </row>
    <row r="9" spans="1:12" x14ac:dyDescent="0.25">
      <c r="B9" t="s">
        <v>413</v>
      </c>
      <c r="C9">
        <v>25</v>
      </c>
      <c r="D9">
        <v>193.63</v>
      </c>
    </row>
    <row r="10" spans="1:12" x14ac:dyDescent="0.25">
      <c r="B10" t="s">
        <v>414</v>
      </c>
      <c r="C10">
        <v>35</v>
      </c>
      <c r="D10">
        <v>185.46</v>
      </c>
    </row>
    <row r="11" spans="1:12" x14ac:dyDescent="0.25">
      <c r="B11" t="s">
        <v>415</v>
      </c>
      <c r="C11">
        <v>45</v>
      </c>
      <c r="D11">
        <v>198.49</v>
      </c>
    </row>
    <row r="12" spans="1:12" x14ac:dyDescent="0.25">
      <c r="B12" t="s">
        <v>416</v>
      </c>
      <c r="C12">
        <v>55</v>
      </c>
      <c r="D12">
        <v>224.3</v>
      </c>
    </row>
    <row r="13" spans="1:12" x14ac:dyDescent="0.25">
      <c r="B13" t="s">
        <v>417</v>
      </c>
      <c r="C13">
        <v>65</v>
      </c>
      <c r="D13">
        <v>288.70999999999998</v>
      </c>
    </row>
    <row r="15" spans="1:12" x14ac:dyDescent="0.25">
      <c r="B15" t="s">
        <v>532</v>
      </c>
    </row>
    <row r="16" spans="1:12" x14ac:dyDescent="0.25">
      <c r="B16" s="10"/>
    </row>
    <row r="17" spans="2:2" x14ac:dyDescent="0.25">
      <c r="B17" t="s">
        <v>531</v>
      </c>
    </row>
    <row r="18" spans="2:2" x14ac:dyDescent="0.25">
      <c r="B18" s="10"/>
    </row>
    <row r="19" spans="2:2" x14ac:dyDescent="0.25">
      <c r="B19" t="s">
        <v>422</v>
      </c>
    </row>
    <row r="20" spans="2:2" x14ac:dyDescent="0.25">
      <c r="B20" t="s">
        <v>446</v>
      </c>
    </row>
    <row r="21" spans="2:2" x14ac:dyDescent="0.25">
      <c r="B21" s="10"/>
    </row>
    <row r="24" spans="2:2" x14ac:dyDescent="0.25">
      <c r="B24" t="s">
        <v>447</v>
      </c>
    </row>
    <row r="25" spans="2:2" x14ac:dyDescent="0.25">
      <c r="B25" t="s">
        <v>448</v>
      </c>
    </row>
    <row r="26" spans="2:2" x14ac:dyDescent="0.25">
      <c r="B26" t="s">
        <v>449</v>
      </c>
    </row>
    <row r="27" spans="2:2" x14ac:dyDescent="0.25">
      <c r="B27" s="10"/>
    </row>
    <row r="29" spans="2:2" x14ac:dyDescent="0.25">
      <c r="B29" t="s">
        <v>496</v>
      </c>
    </row>
    <row r="30" spans="2:2" x14ac:dyDescent="0.25">
      <c r="B30" s="25" t="s">
        <v>497</v>
      </c>
    </row>
    <row r="43" spans="2:3" x14ac:dyDescent="0.25">
      <c r="B43" t="s">
        <v>648</v>
      </c>
    </row>
    <row r="44" spans="2:3" x14ac:dyDescent="0.25">
      <c r="B44" t="s">
        <v>644</v>
      </c>
    </row>
    <row r="45" spans="2:3" x14ac:dyDescent="0.25">
      <c r="B45" t="s">
        <v>645</v>
      </c>
    </row>
    <row r="46" spans="2:3" x14ac:dyDescent="0.25">
      <c r="B46" t="s">
        <v>646</v>
      </c>
    </row>
    <row r="47" spans="2:3" x14ac:dyDescent="0.25">
      <c r="B47" t="s">
        <v>55</v>
      </c>
      <c r="C47" t="s">
        <v>390</v>
      </c>
    </row>
    <row r="48" spans="2:3" x14ac:dyDescent="0.25">
      <c r="B48">
        <v>1</v>
      </c>
      <c r="C48">
        <v>5</v>
      </c>
    </row>
    <row r="49" spans="2:3" x14ac:dyDescent="0.25">
      <c r="B49">
        <v>2</v>
      </c>
      <c r="C49">
        <v>5</v>
      </c>
    </row>
    <row r="50" spans="2:3" x14ac:dyDescent="0.25">
      <c r="B50">
        <v>3</v>
      </c>
      <c r="C50">
        <v>5</v>
      </c>
    </row>
    <row r="51" spans="2:3" x14ac:dyDescent="0.25">
      <c r="B51" t="s">
        <v>647</v>
      </c>
    </row>
    <row r="52" spans="2:3" x14ac:dyDescent="0.25">
      <c r="B52" s="10"/>
    </row>
    <row r="54" spans="2:3" x14ac:dyDescent="0.25">
      <c r="B54" t="s">
        <v>651</v>
      </c>
    </row>
    <row r="55" spans="2:3" x14ac:dyDescent="0.25">
      <c r="B55" t="s">
        <v>652</v>
      </c>
    </row>
    <row r="56" spans="2:3" x14ac:dyDescent="0.25">
      <c r="B56" t="s">
        <v>55</v>
      </c>
      <c r="C56" t="s">
        <v>390</v>
      </c>
    </row>
    <row r="57" spans="2:3" x14ac:dyDescent="0.25">
      <c r="B57">
        <v>1</v>
      </c>
      <c r="C57">
        <v>5</v>
      </c>
    </row>
    <row r="58" spans="2:3" x14ac:dyDescent="0.25">
      <c r="B58">
        <v>2</v>
      </c>
      <c r="C58">
        <v>5.01</v>
      </c>
    </row>
    <row r="59" spans="2:3" x14ac:dyDescent="0.25">
      <c r="B59">
        <v>3</v>
      </c>
      <c r="C59">
        <v>5</v>
      </c>
    </row>
    <row r="61" spans="2:3" x14ac:dyDescent="0.25">
      <c r="B61" t="s">
        <v>656</v>
      </c>
    </row>
    <row r="62" spans="2:3" x14ac:dyDescent="0.25">
      <c r="B62" s="10"/>
    </row>
    <row r="65" spans="2:3" x14ac:dyDescent="0.25">
      <c r="B65" t="s">
        <v>655</v>
      </c>
    </row>
    <row r="66" spans="2:3" x14ac:dyDescent="0.25">
      <c r="B66" t="s">
        <v>653</v>
      </c>
      <c r="C66">
        <v>5</v>
      </c>
    </row>
    <row r="67" spans="2:3" x14ac:dyDescent="0.25">
      <c r="B67" t="s">
        <v>654</v>
      </c>
      <c r="C67">
        <v>0.01</v>
      </c>
    </row>
    <row r="69" spans="2:3" x14ac:dyDescent="0.25">
      <c r="B69" t="s">
        <v>55</v>
      </c>
      <c r="C69" t="s">
        <v>390</v>
      </c>
    </row>
    <row r="70" spans="2:3" x14ac:dyDescent="0.25">
      <c r="B70">
        <v>1</v>
      </c>
      <c r="C70">
        <f>$C$66+$C$67*B70</f>
        <v>5.01</v>
      </c>
    </row>
    <row r="71" spans="2:3" x14ac:dyDescent="0.25">
      <c r="B71">
        <v>2</v>
      </c>
      <c r="C71">
        <f t="shared" ref="C71:C72" si="0">$C$66+$C$67*B71</f>
        <v>5.0199999999999996</v>
      </c>
    </row>
    <row r="72" spans="2:3" x14ac:dyDescent="0.25">
      <c r="B72">
        <v>3</v>
      </c>
      <c r="C72">
        <f t="shared" si="0"/>
        <v>5.03</v>
      </c>
    </row>
    <row r="74" spans="2:3" x14ac:dyDescent="0.25">
      <c r="B74" t="s">
        <v>656</v>
      </c>
    </row>
    <row r="75" spans="2:3" x14ac:dyDescent="0.25">
      <c r="B75" s="10"/>
    </row>
    <row r="77" spans="2:3" x14ac:dyDescent="0.25">
      <c r="B77" t="s">
        <v>657</v>
      </c>
    </row>
    <row r="78" spans="2:3" x14ac:dyDescent="0.25">
      <c r="B78" s="10"/>
    </row>
  </sheetData>
  <hyperlinks>
    <hyperlink ref="B30"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E1" sqref="E1"/>
    </sheetView>
  </sheetViews>
  <sheetFormatPr defaultRowHeight="15" x14ac:dyDescent="0.25"/>
  <sheetData>
    <row r="1" spans="1:1" ht="18" thickBot="1" x14ac:dyDescent="0.35">
      <c r="A1" s="54" t="s">
        <v>537</v>
      </c>
    </row>
    <row r="2" spans="1:1" ht="15.75" thickTop="1" x14ac:dyDescent="0.25"/>
    <row r="3" spans="1:1" x14ac:dyDescent="0.25">
      <c r="A3" t="s">
        <v>5</v>
      </c>
    </row>
    <row r="4" spans="1:1" x14ac:dyDescent="0.25">
      <c r="A4" t="s">
        <v>7</v>
      </c>
    </row>
    <row r="5" spans="1:1" x14ac:dyDescent="0.25">
      <c r="A5" t="s">
        <v>6</v>
      </c>
    </row>
    <row r="6" spans="1:1" x14ac:dyDescent="0.25">
      <c r="A6" t="s">
        <v>8</v>
      </c>
    </row>
    <row r="7" spans="1:1" x14ac:dyDescent="0.25">
      <c r="A7" t="s">
        <v>9</v>
      </c>
    </row>
    <row r="8" spans="1:1" x14ac:dyDescent="0.25">
      <c r="A8" t="s">
        <v>10</v>
      </c>
    </row>
    <row r="10" spans="1:1" x14ac:dyDescent="0.25">
      <c r="A10" t="s">
        <v>15</v>
      </c>
    </row>
    <row r="11" spans="1:1" x14ac:dyDescent="0.25">
      <c r="A11" t="s">
        <v>16</v>
      </c>
    </row>
    <row r="13" spans="1:1" x14ac:dyDescent="0.25">
      <c r="A13" t="s">
        <v>17</v>
      </c>
    </row>
    <row r="14" spans="1:1" x14ac:dyDescent="0.25">
      <c r="A14" t="s">
        <v>18</v>
      </c>
    </row>
    <row r="15" spans="1:1" x14ac:dyDescent="0.25">
      <c r="A15" t="s">
        <v>19</v>
      </c>
    </row>
    <row r="16" spans="1:1" x14ac:dyDescent="0.25">
      <c r="A16" t="s">
        <v>41</v>
      </c>
    </row>
    <row r="17" spans="1:1" x14ac:dyDescent="0.25">
      <c r="A17" t="s">
        <v>20</v>
      </c>
    </row>
    <row r="18" spans="1:1" x14ac:dyDescent="0.25">
      <c r="A18" t="s">
        <v>50</v>
      </c>
    </row>
    <row r="19" spans="1:1" x14ac:dyDescent="0.25">
      <c r="A19" t="s">
        <v>51</v>
      </c>
    </row>
    <row r="20" spans="1:1" x14ac:dyDescent="0.25">
      <c r="A20" t="s">
        <v>29</v>
      </c>
    </row>
    <row r="21" spans="1:1" x14ac:dyDescent="0.25">
      <c r="A21" t="s">
        <v>39</v>
      </c>
    </row>
    <row r="23" spans="1:1" x14ac:dyDescent="0.25">
      <c r="A23" t="s">
        <v>33</v>
      </c>
    </row>
    <row r="24" spans="1:1" x14ac:dyDescent="0.25">
      <c r="A24" t="s">
        <v>30</v>
      </c>
    </row>
    <row r="25" spans="1:1" x14ac:dyDescent="0.25">
      <c r="A25" t="s">
        <v>31</v>
      </c>
    </row>
    <row r="26" spans="1:1" x14ac:dyDescent="0.25">
      <c r="A26" t="s">
        <v>32</v>
      </c>
    </row>
    <row r="27" spans="1:1" x14ac:dyDescent="0.25">
      <c r="A27" t="s">
        <v>34</v>
      </c>
    </row>
    <row r="28" spans="1:1" x14ac:dyDescent="0.25">
      <c r="A28" t="s">
        <v>38</v>
      </c>
    </row>
    <row r="29" spans="1:1" x14ac:dyDescent="0.25">
      <c r="A29" t="s">
        <v>35</v>
      </c>
    </row>
    <row r="30" spans="1:1" x14ac:dyDescent="0.25">
      <c r="A30" t="s">
        <v>36</v>
      </c>
    </row>
    <row r="31" spans="1:1" x14ac:dyDescent="0.25">
      <c r="A31" t="s">
        <v>37</v>
      </c>
    </row>
    <row r="33" spans="1:1" x14ac:dyDescent="0.25">
      <c r="A33" t="s">
        <v>40</v>
      </c>
    </row>
    <row r="34" spans="1:1" x14ac:dyDescent="0.25">
      <c r="A34" t="s">
        <v>42</v>
      </c>
    </row>
    <row r="38" spans="1:1" x14ac:dyDescent="0.25">
      <c r="A38" t="s">
        <v>21</v>
      </c>
    </row>
    <row r="39" spans="1:1" x14ac:dyDescent="0.25">
      <c r="A39" t="s">
        <v>22</v>
      </c>
    </row>
    <row r="40" spans="1:1" x14ac:dyDescent="0.25">
      <c r="A40" t="s">
        <v>23</v>
      </c>
    </row>
    <row r="41" spans="1:1" x14ac:dyDescent="0.25">
      <c r="A41" t="s">
        <v>24</v>
      </c>
    </row>
    <row r="42" spans="1:1" x14ac:dyDescent="0.25">
      <c r="A42" t="s">
        <v>25</v>
      </c>
    </row>
    <row r="43" spans="1:1" x14ac:dyDescent="0.25">
      <c r="A43" t="s">
        <v>26</v>
      </c>
    </row>
    <row r="44" spans="1:1" x14ac:dyDescent="0.25">
      <c r="A44" t="s">
        <v>27</v>
      </c>
    </row>
    <row r="45" spans="1:1" x14ac:dyDescent="0.25">
      <c r="A45" t="s">
        <v>28</v>
      </c>
    </row>
    <row r="46" spans="1:1" x14ac:dyDescent="0.25">
      <c r="A46" t="s">
        <v>43</v>
      </c>
    </row>
    <row r="47" spans="1:1" x14ac:dyDescent="0.25">
      <c r="A47" t="s">
        <v>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3" sqref="A3"/>
    </sheetView>
  </sheetViews>
  <sheetFormatPr defaultRowHeight="15" x14ac:dyDescent="0.25"/>
  <sheetData>
    <row r="1" spans="1:9" ht="18" thickBot="1" x14ac:dyDescent="0.35">
      <c r="A1" s="54" t="s">
        <v>498</v>
      </c>
    </row>
    <row r="2" spans="1:9" ht="15.75" thickTop="1" x14ac:dyDescent="0.25"/>
    <row r="3" spans="1:9" x14ac:dyDescent="0.25">
      <c r="B3" t="s">
        <v>499</v>
      </c>
    </row>
    <row r="4" spans="1:9" x14ac:dyDescent="0.25">
      <c r="B4" t="s">
        <v>500</v>
      </c>
    </row>
    <row r="5" spans="1:9" x14ac:dyDescent="0.25">
      <c r="B5" t="s">
        <v>501</v>
      </c>
    </row>
    <row r="7" spans="1:9" x14ac:dyDescent="0.25">
      <c r="B7" t="s">
        <v>642</v>
      </c>
    </row>
    <row r="8" spans="1:9" x14ac:dyDescent="0.25">
      <c r="B8" t="s">
        <v>502</v>
      </c>
    </row>
    <row r="9" spans="1:9" x14ac:dyDescent="0.25">
      <c r="B9" t="s">
        <v>503</v>
      </c>
    </row>
    <row r="11" spans="1:9" x14ac:dyDescent="0.25">
      <c r="B11" t="s">
        <v>513</v>
      </c>
    </row>
    <row r="12" spans="1:9" x14ac:dyDescent="0.25">
      <c r="B12" t="s">
        <v>514</v>
      </c>
    </row>
    <row r="13" spans="1:9" x14ac:dyDescent="0.25">
      <c r="B13" t="s">
        <v>521</v>
      </c>
      <c r="G13" t="s">
        <v>522</v>
      </c>
    </row>
    <row r="14" spans="1:9" x14ac:dyDescent="0.25">
      <c r="B14" t="s">
        <v>515</v>
      </c>
      <c r="C14" t="s">
        <v>516</v>
      </c>
      <c r="D14" t="s">
        <v>517</v>
      </c>
      <c r="G14" t="s">
        <v>515</v>
      </c>
      <c r="H14" t="s">
        <v>516</v>
      </c>
      <c r="I14" t="s">
        <v>517</v>
      </c>
    </row>
    <row r="15" spans="1:9" x14ac:dyDescent="0.25">
      <c r="B15">
        <v>0</v>
      </c>
      <c r="C15">
        <v>0.5</v>
      </c>
      <c r="D15" t="s">
        <v>518</v>
      </c>
      <c r="G15">
        <f t="shared" ref="G15:H17" si="0">B15^2</f>
        <v>0</v>
      </c>
      <c r="H15">
        <f t="shared" si="0"/>
        <v>0.25</v>
      </c>
      <c r="I15" t="s">
        <v>518</v>
      </c>
    </row>
    <row r="16" spans="1:9" x14ac:dyDescent="0.25">
      <c r="B16">
        <v>0.5</v>
      </c>
      <c r="C16">
        <v>0.8</v>
      </c>
      <c r="D16" t="s">
        <v>519</v>
      </c>
      <c r="G16">
        <f t="shared" si="0"/>
        <v>0.25</v>
      </c>
      <c r="H16">
        <f t="shared" si="0"/>
        <v>0.64000000000000012</v>
      </c>
      <c r="I16" t="s">
        <v>519</v>
      </c>
    </row>
    <row r="17" spans="2:9" x14ac:dyDescent="0.25">
      <c r="B17">
        <v>0.8</v>
      </c>
      <c r="C17">
        <v>1</v>
      </c>
      <c r="D17" t="s">
        <v>520</v>
      </c>
      <c r="G17">
        <f t="shared" si="0"/>
        <v>0.64000000000000012</v>
      </c>
      <c r="H17">
        <f t="shared" si="0"/>
        <v>1</v>
      </c>
      <c r="I17" t="s">
        <v>520</v>
      </c>
    </row>
    <row r="18" spans="2:9" x14ac:dyDescent="0.25">
      <c r="B18" t="s">
        <v>523</v>
      </c>
    </row>
    <row r="20" spans="2:9" x14ac:dyDescent="0.25">
      <c r="B20" t="s">
        <v>525</v>
      </c>
    </row>
    <row r="22" spans="2:9" x14ac:dyDescent="0.25">
      <c r="B22" t="s">
        <v>505</v>
      </c>
    </row>
    <row r="23" spans="2:9" x14ac:dyDescent="0.25">
      <c r="B23" t="s">
        <v>524</v>
      </c>
    </row>
    <row r="24" spans="2:9" x14ac:dyDescent="0.25">
      <c r="B24" t="s">
        <v>504</v>
      </c>
    </row>
    <row r="25" spans="2:9" x14ac:dyDescent="0.25">
      <c r="B25" s="10"/>
    </row>
    <row r="26" spans="2:9" x14ac:dyDescent="0.25">
      <c r="B26" t="s">
        <v>506</v>
      </c>
    </row>
    <row r="27" spans="2:9" x14ac:dyDescent="0.25">
      <c r="B27" s="10"/>
    </row>
    <row r="28" spans="2:9" x14ac:dyDescent="0.25">
      <c r="B28" t="s">
        <v>507</v>
      </c>
    </row>
    <row r="29" spans="2:9" x14ac:dyDescent="0.25">
      <c r="B29" s="10"/>
    </row>
    <row r="30" spans="2:9" x14ac:dyDescent="0.25">
      <c r="B30" t="s">
        <v>508</v>
      </c>
    </row>
    <row r="31" spans="2:9" x14ac:dyDescent="0.25">
      <c r="B31" s="10"/>
    </row>
    <row r="32" spans="2:9" x14ac:dyDescent="0.25">
      <c r="B32" t="s">
        <v>509</v>
      </c>
    </row>
    <row r="33" spans="2:2" x14ac:dyDescent="0.25">
      <c r="B33" t="s">
        <v>510</v>
      </c>
    </row>
    <row r="34" spans="2:2" x14ac:dyDescent="0.25">
      <c r="B34" s="53" t="s">
        <v>512</v>
      </c>
    </row>
    <row r="35" spans="2:2" x14ac:dyDescent="0.25">
      <c r="B35" t="s">
        <v>511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workbookViewId="0">
      <selection activeCell="A3" sqref="A3"/>
    </sheetView>
  </sheetViews>
  <sheetFormatPr defaultRowHeight="15" x14ac:dyDescent="0.25"/>
  <sheetData>
    <row r="1" spans="1:4" ht="18" thickBot="1" x14ac:dyDescent="0.35">
      <c r="A1" s="54" t="s">
        <v>643</v>
      </c>
    </row>
    <row r="2" spans="1:4" ht="15.75" thickTop="1" x14ac:dyDescent="0.25"/>
    <row r="3" spans="1:4" x14ac:dyDescent="0.25">
      <c r="B3" t="s">
        <v>452</v>
      </c>
    </row>
    <row r="4" spans="1:4" x14ac:dyDescent="0.25">
      <c r="B4" t="s">
        <v>453</v>
      </c>
    </row>
    <row r="6" spans="1:4" x14ac:dyDescent="0.25">
      <c r="B6" t="s">
        <v>454</v>
      </c>
    </row>
    <row r="7" spans="1:4" x14ac:dyDescent="0.25">
      <c r="B7" t="s">
        <v>455</v>
      </c>
    </row>
    <row r="9" spans="1:4" x14ac:dyDescent="0.25">
      <c r="B9" t="s">
        <v>457</v>
      </c>
    </row>
    <row r="11" spans="1:4" x14ac:dyDescent="0.25">
      <c r="B11" t="s">
        <v>55</v>
      </c>
      <c r="C11" t="s">
        <v>390</v>
      </c>
      <c r="D11" t="s">
        <v>456</v>
      </c>
    </row>
    <row r="12" spans="1:4" x14ac:dyDescent="0.25">
      <c r="B12">
        <v>-1</v>
      </c>
      <c r="C12" s="51">
        <v>1</v>
      </c>
      <c r="D12">
        <f>B12</f>
        <v>-1</v>
      </c>
    </row>
    <row r="13" spans="1:4" x14ac:dyDescent="0.25">
      <c r="B13">
        <v>1</v>
      </c>
      <c r="C13" s="51">
        <v>0.5</v>
      </c>
      <c r="D13">
        <f>B13</f>
        <v>1</v>
      </c>
    </row>
    <row r="14" spans="1:4" x14ac:dyDescent="0.25">
      <c r="B14">
        <v>2</v>
      </c>
      <c r="C14" s="51">
        <v>4</v>
      </c>
      <c r="D14">
        <f>B14</f>
        <v>2</v>
      </c>
    </row>
    <row r="16" spans="1:4" x14ac:dyDescent="0.25">
      <c r="B16" t="s">
        <v>458</v>
      </c>
    </row>
    <row r="17" spans="2:2" x14ac:dyDescent="0.25">
      <c r="B17" s="10"/>
    </row>
    <row r="18" spans="2:2" x14ac:dyDescent="0.25">
      <c r="B18" t="s">
        <v>459</v>
      </c>
    </row>
    <row r="19" spans="2:2" x14ac:dyDescent="0.25">
      <c r="B19" t="s">
        <v>460</v>
      </c>
    </row>
    <row r="20" spans="2:2" x14ac:dyDescent="0.25">
      <c r="B20" t="s">
        <v>461</v>
      </c>
    </row>
    <row r="21" spans="2:2" x14ac:dyDescent="0.25">
      <c r="B21" t="s">
        <v>463</v>
      </c>
    </row>
    <row r="22" spans="2:2" x14ac:dyDescent="0.25">
      <c r="B22" t="s">
        <v>468</v>
      </c>
    </row>
    <row r="23" spans="2:2" x14ac:dyDescent="0.25">
      <c r="B23" t="s">
        <v>462</v>
      </c>
    </row>
    <row r="24" spans="2:2" x14ac:dyDescent="0.25">
      <c r="B24" s="10"/>
    </row>
    <row r="25" spans="2:2" x14ac:dyDescent="0.25">
      <c r="B25" t="s">
        <v>464</v>
      </c>
    </row>
    <row r="26" spans="2:2" x14ac:dyDescent="0.25">
      <c r="B26" t="s">
        <v>466</v>
      </c>
    </row>
    <row r="27" spans="2:2" x14ac:dyDescent="0.25">
      <c r="B27" s="10"/>
    </row>
    <row r="28" spans="2:2" x14ac:dyDescent="0.25">
      <c r="B28" t="s">
        <v>465</v>
      </c>
    </row>
    <row r="29" spans="2:2" x14ac:dyDescent="0.25">
      <c r="B29" s="10"/>
    </row>
    <row r="30" spans="2:2" x14ac:dyDescent="0.25">
      <c r="B30" t="s">
        <v>467</v>
      </c>
    </row>
    <row r="31" spans="2:2" x14ac:dyDescent="0.25">
      <c r="B31" t="s">
        <v>470</v>
      </c>
    </row>
    <row r="32" spans="2:2" x14ac:dyDescent="0.25">
      <c r="B32" s="10"/>
    </row>
    <row r="33" spans="2:12" x14ac:dyDescent="0.25">
      <c r="B33" t="s">
        <v>471</v>
      </c>
    </row>
    <row r="34" spans="2:12" x14ac:dyDescent="0.25">
      <c r="B34" t="s">
        <v>469</v>
      </c>
    </row>
    <row r="35" spans="2:12" x14ac:dyDescent="0.25">
      <c r="B35" s="10"/>
    </row>
    <row r="36" spans="2:12" x14ac:dyDescent="0.25">
      <c r="B36" t="s">
        <v>472</v>
      </c>
    </row>
    <row r="37" spans="2:12" x14ac:dyDescent="0.25">
      <c r="B37" t="s">
        <v>473</v>
      </c>
    </row>
    <row r="38" spans="2:12" x14ac:dyDescent="0.25">
      <c r="B38" s="10"/>
    </row>
    <row r="39" spans="2:12" x14ac:dyDescent="0.25">
      <c r="B39" t="s">
        <v>474</v>
      </c>
      <c r="K39" t="s">
        <v>481</v>
      </c>
    </row>
    <row r="40" spans="2:12" x14ac:dyDescent="0.25">
      <c r="B40" t="s">
        <v>475</v>
      </c>
      <c r="K40" t="s">
        <v>478</v>
      </c>
    </row>
    <row r="41" spans="2:12" x14ac:dyDescent="0.25">
      <c r="B41" t="s">
        <v>476</v>
      </c>
      <c r="K41">
        <f>SLOPE(C12:C14,B12:B14)</f>
        <v>0.82142857142857162</v>
      </c>
      <c r="L41">
        <f>SLOPE(D12:D14,C12:C14)</f>
        <v>0.53488372093023251</v>
      </c>
    </row>
    <row r="42" spans="2:12" x14ac:dyDescent="0.25">
      <c r="B42" s="10"/>
      <c r="K42" t="s">
        <v>477</v>
      </c>
    </row>
    <row r="43" spans="2:12" x14ac:dyDescent="0.25">
      <c r="K43" s="10"/>
    </row>
    <row r="44" spans="2:12" x14ac:dyDescent="0.25">
      <c r="B44" t="s">
        <v>528</v>
      </c>
      <c r="K44" t="s">
        <v>479</v>
      </c>
    </row>
    <row r="45" spans="2:12" x14ac:dyDescent="0.25">
      <c r="B45" s="10"/>
      <c r="K45" s="10"/>
    </row>
    <row r="46" spans="2:12" x14ac:dyDescent="0.25">
      <c r="B46" t="s">
        <v>529</v>
      </c>
      <c r="K46" t="s">
        <v>480</v>
      </c>
    </row>
    <row r="47" spans="2:12" x14ac:dyDescent="0.25">
      <c r="B47" t="s">
        <v>444</v>
      </c>
      <c r="K47" s="10"/>
    </row>
    <row r="48" spans="2:12" x14ac:dyDescent="0.25">
      <c r="B48" t="s">
        <v>530</v>
      </c>
      <c r="K48" t="s">
        <v>482</v>
      </c>
    </row>
    <row r="49" spans="1:11" x14ac:dyDescent="0.25">
      <c r="B49" s="10"/>
      <c r="K49" s="10"/>
    </row>
    <row r="51" spans="1:11" x14ac:dyDescent="0.25">
      <c r="A51" t="s">
        <v>490</v>
      </c>
    </row>
    <row r="52" spans="1:11" x14ac:dyDescent="0.25">
      <c r="A52" t="s">
        <v>450</v>
      </c>
    </row>
    <row r="53" spans="1:11" x14ac:dyDescent="0.25">
      <c r="A53" t="s">
        <v>811</v>
      </c>
    </row>
    <row r="55" spans="1:11" x14ac:dyDescent="0.25">
      <c r="B55" t="s">
        <v>12</v>
      </c>
    </row>
    <row r="56" spans="1:11" x14ac:dyDescent="0.25">
      <c r="A56" t="s">
        <v>45</v>
      </c>
      <c r="B56" t="s">
        <v>0</v>
      </c>
      <c r="C56" t="s">
        <v>47</v>
      </c>
    </row>
    <row r="57" spans="1:11" x14ac:dyDescent="0.25">
      <c r="A57">
        <v>1</v>
      </c>
      <c r="B57">
        <v>20</v>
      </c>
      <c r="C57" s="1">
        <f ca="1">0.1*8.3145*(273.15+B57)/(101.3) + NORMINV(RAND(),0,1)*0.08</f>
        <v>2.3926393070051222</v>
      </c>
    </row>
    <row r="58" spans="1:11" x14ac:dyDescent="0.25">
      <c r="A58">
        <v>2</v>
      </c>
      <c r="B58">
        <v>20</v>
      </c>
      <c r="C58" s="1">
        <f t="shared" ref="C58:C68" ca="1" si="0">0.1*8.3145*(273.15+B58)/(101.3) + NORMINV(RAND(),0,1)*0.08</f>
        <v>2.3313319386121787</v>
      </c>
    </row>
    <row r="59" spans="1:11" x14ac:dyDescent="0.25">
      <c r="A59">
        <v>3</v>
      </c>
      <c r="B59">
        <v>20</v>
      </c>
      <c r="C59" s="1">
        <f t="shared" ca="1" si="0"/>
        <v>2.3398465630750271</v>
      </c>
    </row>
    <row r="60" spans="1:11" x14ac:dyDescent="0.25">
      <c r="A60">
        <v>4</v>
      </c>
      <c r="B60">
        <v>40</v>
      </c>
      <c r="C60" s="1">
        <f t="shared" ca="1" si="0"/>
        <v>2.5046246129674943</v>
      </c>
    </row>
    <row r="61" spans="1:11" x14ac:dyDescent="0.25">
      <c r="A61">
        <v>5</v>
      </c>
      <c r="B61">
        <v>40</v>
      </c>
      <c r="C61" s="1">
        <f t="shared" ca="1" si="0"/>
        <v>2.5507886831369144</v>
      </c>
    </row>
    <row r="62" spans="1:11" x14ac:dyDescent="0.25">
      <c r="A62">
        <v>6</v>
      </c>
      <c r="B62">
        <v>40</v>
      </c>
      <c r="C62" s="1">
        <f t="shared" ca="1" si="0"/>
        <v>2.5478801601317969</v>
      </c>
    </row>
    <row r="63" spans="1:11" x14ac:dyDescent="0.25">
      <c r="A63">
        <v>7</v>
      </c>
      <c r="B63">
        <v>60</v>
      </c>
      <c r="C63" s="1">
        <f t="shared" ca="1" si="0"/>
        <v>2.7526576482545426</v>
      </c>
    </row>
    <row r="64" spans="1:11" x14ac:dyDescent="0.25">
      <c r="A64">
        <v>8</v>
      </c>
      <c r="B64">
        <v>60</v>
      </c>
      <c r="C64" s="1">
        <f t="shared" ca="1" si="0"/>
        <v>2.79570026188944</v>
      </c>
    </row>
    <row r="65" spans="1:4" x14ac:dyDescent="0.25">
      <c r="A65">
        <v>9</v>
      </c>
      <c r="B65">
        <v>60</v>
      </c>
      <c r="C65" s="1">
        <f t="shared" ca="1" si="0"/>
        <v>2.7857222925700866</v>
      </c>
    </row>
    <row r="66" spans="1:4" x14ac:dyDescent="0.25">
      <c r="A66">
        <v>10</v>
      </c>
      <c r="B66">
        <v>80</v>
      </c>
      <c r="C66" s="1">
        <f t="shared" ca="1" si="0"/>
        <v>2.9657701315801552</v>
      </c>
    </row>
    <row r="67" spans="1:4" x14ac:dyDescent="0.25">
      <c r="A67">
        <v>11</v>
      </c>
      <c r="B67">
        <v>80</v>
      </c>
      <c r="C67" s="1">
        <f t="shared" ca="1" si="0"/>
        <v>2.9002336091947063</v>
      </c>
    </row>
    <row r="68" spans="1:4" x14ac:dyDescent="0.25">
      <c r="A68">
        <v>12</v>
      </c>
      <c r="B68">
        <v>80</v>
      </c>
      <c r="C68" s="1">
        <f t="shared" ca="1" si="0"/>
        <v>2.9633669734348995</v>
      </c>
    </row>
    <row r="70" spans="1:4" x14ac:dyDescent="0.25">
      <c r="A70" t="s">
        <v>88</v>
      </c>
      <c r="B70">
        <f ca="1">SLOPE(C57:C68,B57:B68)</f>
        <v>1.0045742438383604E-2</v>
      </c>
      <c r="D70" t="s">
        <v>483</v>
      </c>
    </row>
    <row r="71" spans="1:4" x14ac:dyDescent="0.25">
      <c r="A71" t="s">
        <v>167</v>
      </c>
      <c r="B71">
        <f ca="1">INTERCEPT(C57:C68,B57:B68)</f>
        <v>2.1502597265685166</v>
      </c>
      <c r="D71" t="s">
        <v>484</v>
      </c>
    </row>
    <row r="72" spans="1:4" x14ac:dyDescent="0.25">
      <c r="A72" t="s">
        <v>451</v>
      </c>
    </row>
    <row r="73" spans="1:4" x14ac:dyDescent="0.25">
      <c r="B73">
        <f ca="1">-B71/B70</f>
        <v>-214.04687008026667</v>
      </c>
    </row>
    <row r="75" spans="1:4" x14ac:dyDescent="0.25">
      <c r="B75" t="s">
        <v>12</v>
      </c>
    </row>
    <row r="76" spans="1:4" x14ac:dyDescent="0.25">
      <c r="A76" t="s">
        <v>45</v>
      </c>
      <c r="B76" t="s">
        <v>0</v>
      </c>
      <c r="C76" t="s">
        <v>47</v>
      </c>
      <c r="D76" t="s">
        <v>0</v>
      </c>
    </row>
    <row r="77" spans="1:4" x14ac:dyDescent="0.25">
      <c r="A77">
        <v>1</v>
      </c>
      <c r="B77">
        <v>20</v>
      </c>
      <c r="C77" s="1">
        <f ca="1">C57</f>
        <v>2.3926393070051222</v>
      </c>
      <c r="D77">
        <v>20</v>
      </c>
    </row>
    <row r="78" spans="1:4" x14ac:dyDescent="0.25">
      <c r="A78">
        <v>2</v>
      </c>
      <c r="B78">
        <v>20</v>
      </c>
      <c r="C78" s="1">
        <f t="shared" ref="C78:C88" ca="1" si="1">C58</f>
        <v>2.3313319386121787</v>
      </c>
      <c r="D78">
        <v>20</v>
      </c>
    </row>
    <row r="79" spans="1:4" x14ac:dyDescent="0.25">
      <c r="A79">
        <v>3</v>
      </c>
      <c r="B79">
        <v>20</v>
      </c>
      <c r="C79" s="1">
        <f t="shared" ca="1" si="1"/>
        <v>2.3398465630750271</v>
      </c>
      <c r="D79">
        <v>20</v>
      </c>
    </row>
    <row r="80" spans="1:4" x14ac:dyDescent="0.25">
      <c r="A80">
        <v>4</v>
      </c>
      <c r="B80">
        <v>40</v>
      </c>
      <c r="C80" s="1">
        <f t="shared" ca="1" si="1"/>
        <v>2.5046246129674943</v>
      </c>
      <c r="D80">
        <v>40</v>
      </c>
    </row>
    <row r="81" spans="1:4" x14ac:dyDescent="0.25">
      <c r="A81">
        <v>5</v>
      </c>
      <c r="B81">
        <v>40</v>
      </c>
      <c r="C81" s="1">
        <f t="shared" ca="1" si="1"/>
        <v>2.5507886831369144</v>
      </c>
      <c r="D81">
        <v>40</v>
      </c>
    </row>
    <row r="82" spans="1:4" x14ac:dyDescent="0.25">
      <c r="A82">
        <v>6</v>
      </c>
      <c r="B82">
        <v>40</v>
      </c>
      <c r="C82" s="1">
        <f t="shared" ca="1" si="1"/>
        <v>2.5478801601317969</v>
      </c>
      <c r="D82">
        <v>40</v>
      </c>
    </row>
    <row r="83" spans="1:4" x14ac:dyDescent="0.25">
      <c r="A83">
        <v>7</v>
      </c>
      <c r="B83">
        <v>60</v>
      </c>
      <c r="C83" s="1">
        <f t="shared" ca="1" si="1"/>
        <v>2.7526576482545426</v>
      </c>
      <c r="D83">
        <v>60</v>
      </c>
    </row>
    <row r="84" spans="1:4" x14ac:dyDescent="0.25">
      <c r="A84">
        <v>8</v>
      </c>
      <c r="B84">
        <v>60</v>
      </c>
      <c r="C84" s="1">
        <f t="shared" ca="1" si="1"/>
        <v>2.79570026188944</v>
      </c>
      <c r="D84">
        <v>60</v>
      </c>
    </row>
    <row r="85" spans="1:4" x14ac:dyDescent="0.25">
      <c r="A85">
        <v>9</v>
      </c>
      <c r="B85">
        <v>60</v>
      </c>
      <c r="C85" s="1">
        <f t="shared" ca="1" si="1"/>
        <v>2.7857222925700866</v>
      </c>
      <c r="D85">
        <v>60</v>
      </c>
    </row>
    <row r="86" spans="1:4" x14ac:dyDescent="0.25">
      <c r="A86">
        <v>10</v>
      </c>
      <c r="B86">
        <v>80</v>
      </c>
      <c r="C86" s="1">
        <f t="shared" ca="1" si="1"/>
        <v>2.9657701315801552</v>
      </c>
      <c r="D86">
        <v>80</v>
      </c>
    </row>
    <row r="87" spans="1:4" x14ac:dyDescent="0.25">
      <c r="A87">
        <v>11</v>
      </c>
      <c r="B87">
        <v>80</v>
      </c>
      <c r="C87" s="1">
        <f t="shared" ca="1" si="1"/>
        <v>2.9002336091947063</v>
      </c>
      <c r="D87">
        <v>80</v>
      </c>
    </row>
    <row r="88" spans="1:4" x14ac:dyDescent="0.25">
      <c r="A88">
        <v>12</v>
      </c>
      <c r="B88">
        <v>80</v>
      </c>
      <c r="C88" s="1">
        <f t="shared" ca="1" si="1"/>
        <v>2.9633669734348995</v>
      </c>
      <c r="D88">
        <v>80</v>
      </c>
    </row>
    <row r="90" spans="1:4" x14ac:dyDescent="0.25">
      <c r="B90" t="s">
        <v>88</v>
      </c>
      <c r="C90">
        <f ca="1">SLOPE(D77:D88,C77:C88)</f>
        <v>97.84484916317524</v>
      </c>
    </row>
    <row r="91" spans="1:4" x14ac:dyDescent="0.25">
      <c r="B91" t="s">
        <v>167</v>
      </c>
      <c r="C91">
        <f ca="1">INTERCEPT(D77:D88,C77:C88)</f>
        <v>-209.53804628853459</v>
      </c>
    </row>
    <row r="93" spans="1:4" x14ac:dyDescent="0.25">
      <c r="D93" t="s">
        <v>485</v>
      </c>
    </row>
    <row r="94" spans="1:4" x14ac:dyDescent="0.25">
      <c r="D94" t="s">
        <v>486</v>
      </c>
    </row>
    <row r="95" spans="1:4" x14ac:dyDescent="0.25">
      <c r="D95" t="s">
        <v>487</v>
      </c>
    </row>
    <row r="97" spans="2:2" x14ac:dyDescent="0.25">
      <c r="B97" t="s">
        <v>810</v>
      </c>
    </row>
    <row r="98" spans="2:2" x14ac:dyDescent="0.25">
      <c r="B98" t="s">
        <v>488</v>
      </c>
    </row>
    <row r="99" spans="2:2" x14ac:dyDescent="0.25">
      <c r="B99" t="s">
        <v>489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5"/>
  <sheetViews>
    <sheetView workbookViewId="0">
      <selection activeCell="G27" sqref="G27"/>
    </sheetView>
  </sheetViews>
  <sheetFormatPr defaultRowHeight="15" x14ac:dyDescent="0.25"/>
  <cols>
    <col min="2" max="2" width="18.85546875" customWidth="1"/>
    <col min="3" max="3" width="13.7109375" bestFit="1" customWidth="1"/>
    <col min="5" max="5" width="9.5703125" customWidth="1"/>
  </cols>
  <sheetData>
    <row r="1" spans="1:4" ht="18" thickBot="1" x14ac:dyDescent="0.35">
      <c r="A1" s="54" t="s">
        <v>538</v>
      </c>
    </row>
    <row r="2" spans="1:4" ht="15.75" thickTop="1" x14ac:dyDescent="0.25"/>
    <row r="3" spans="1:4" x14ac:dyDescent="0.25">
      <c r="A3" t="s">
        <v>58</v>
      </c>
    </row>
    <row r="4" spans="1:4" x14ac:dyDescent="0.25">
      <c r="A4" t="s">
        <v>52</v>
      </c>
    </row>
    <row r="5" spans="1:4" x14ac:dyDescent="0.25">
      <c r="A5" t="s">
        <v>53</v>
      </c>
    </row>
    <row r="6" spans="1:4" x14ac:dyDescent="0.25">
      <c r="A6" t="s">
        <v>60</v>
      </c>
    </row>
    <row r="7" spans="1:4" x14ac:dyDescent="0.25">
      <c r="A7" t="s">
        <v>54</v>
      </c>
    </row>
    <row r="8" spans="1:4" x14ac:dyDescent="0.25">
      <c r="A8" t="s">
        <v>313</v>
      </c>
    </row>
    <row r="9" spans="1:4" x14ac:dyDescent="0.25">
      <c r="A9" t="s">
        <v>314</v>
      </c>
    </row>
    <row r="10" spans="1:4" x14ac:dyDescent="0.25">
      <c r="A10" t="s">
        <v>61</v>
      </c>
    </row>
    <row r="11" spans="1:4" x14ac:dyDescent="0.25">
      <c r="C11" s="47"/>
      <c r="D11" s="47" t="s">
        <v>56</v>
      </c>
    </row>
    <row r="12" spans="1:4" x14ac:dyDescent="0.25">
      <c r="C12" s="47"/>
      <c r="D12" s="47">
        <v>0.1</v>
      </c>
    </row>
    <row r="13" spans="1:4" x14ac:dyDescent="0.25">
      <c r="B13" t="s">
        <v>666</v>
      </c>
      <c r="C13" s="47"/>
      <c r="D13" s="47"/>
    </row>
    <row r="14" spans="1:4" x14ac:dyDescent="0.25">
      <c r="B14" t="s">
        <v>534</v>
      </c>
      <c r="C14" s="47">
        <v>2</v>
      </c>
      <c r="D14" s="47"/>
    </row>
    <row r="15" spans="1:4" x14ac:dyDescent="0.25">
      <c r="B15" t="s">
        <v>535</v>
      </c>
      <c r="C15" s="47">
        <v>0.01</v>
      </c>
      <c r="D15" s="47"/>
    </row>
    <row r="16" spans="1:4" x14ac:dyDescent="0.25">
      <c r="D16" s="47"/>
    </row>
    <row r="17" spans="1:7" x14ac:dyDescent="0.25">
      <c r="C17" s="47"/>
      <c r="D17" s="47"/>
    </row>
    <row r="18" spans="1:7" x14ac:dyDescent="0.25">
      <c r="C18" s="47"/>
      <c r="D18" s="47"/>
    </row>
    <row r="19" spans="1:7" ht="45" x14ac:dyDescent="0.25">
      <c r="A19" t="s">
        <v>45</v>
      </c>
      <c r="B19" t="s">
        <v>55</v>
      </c>
      <c r="C19" s="66" t="s">
        <v>663</v>
      </c>
      <c r="D19" s="66" t="s">
        <v>662</v>
      </c>
      <c r="E19" s="67" t="s">
        <v>664</v>
      </c>
    </row>
    <row r="20" spans="1:7" x14ac:dyDescent="0.25">
      <c r="A20">
        <v>1</v>
      </c>
      <c r="B20">
        <v>20</v>
      </c>
      <c r="C20" s="48">
        <f t="shared" ref="C20:C25" si="0">beta0+beta1*B20</f>
        <v>2.2000000000000002</v>
      </c>
      <c r="D20" s="49">
        <f t="shared" ref="D20:D49" ca="1" si="1">NORMINV(RAND(),0,1)*sigma</f>
        <v>-7.0340910045374835E-2</v>
      </c>
      <c r="E20" s="11">
        <f ca="1">C20+D20</f>
        <v>2.1296590899546253</v>
      </c>
    </row>
    <row r="21" spans="1:7" x14ac:dyDescent="0.25">
      <c r="A21">
        <v>2</v>
      </c>
      <c r="B21">
        <v>20</v>
      </c>
      <c r="C21" s="47">
        <f t="shared" si="0"/>
        <v>2.2000000000000002</v>
      </c>
      <c r="D21" s="47">
        <f t="shared" ca="1" si="1"/>
        <v>-8.7753524891160291E-3</v>
      </c>
      <c r="E21">
        <f t="shared" ref="E21:E24" ca="1" si="2">C21+D21</f>
        <v>2.1912246475108841</v>
      </c>
    </row>
    <row r="22" spans="1:7" x14ac:dyDescent="0.25">
      <c r="A22">
        <v>3</v>
      </c>
      <c r="B22">
        <v>20</v>
      </c>
      <c r="C22" s="47">
        <f t="shared" si="0"/>
        <v>2.2000000000000002</v>
      </c>
      <c r="D22" s="47">
        <f t="shared" ca="1" si="1"/>
        <v>7.4532841019136251E-2</v>
      </c>
      <c r="E22">
        <f t="shared" ca="1" si="2"/>
        <v>2.2745328410191363</v>
      </c>
    </row>
    <row r="23" spans="1:7" x14ac:dyDescent="0.25">
      <c r="A23">
        <v>4</v>
      </c>
      <c r="B23">
        <f>B20+10</f>
        <v>30</v>
      </c>
      <c r="C23" s="47">
        <f t="shared" si="0"/>
        <v>2.2999999999999998</v>
      </c>
      <c r="D23" s="47">
        <f t="shared" ca="1" si="1"/>
        <v>9.5030151821942736E-3</v>
      </c>
      <c r="E23">
        <f t="shared" ca="1" si="2"/>
        <v>2.309503015182194</v>
      </c>
    </row>
    <row r="24" spans="1:7" x14ac:dyDescent="0.25">
      <c r="A24">
        <v>5</v>
      </c>
      <c r="B24">
        <f t="shared" ref="B24:B49" si="3">B21+10</f>
        <v>30</v>
      </c>
      <c r="C24" s="47">
        <f t="shared" si="0"/>
        <v>2.2999999999999998</v>
      </c>
      <c r="D24" s="47">
        <f t="shared" ca="1" si="1"/>
        <v>0.14989599361626904</v>
      </c>
      <c r="E24">
        <f t="shared" ca="1" si="2"/>
        <v>2.449895993616269</v>
      </c>
    </row>
    <row r="25" spans="1:7" x14ac:dyDescent="0.25">
      <c r="A25">
        <v>6</v>
      </c>
      <c r="B25">
        <f t="shared" si="3"/>
        <v>30</v>
      </c>
      <c r="C25" s="47">
        <f t="shared" si="0"/>
        <v>2.2999999999999998</v>
      </c>
      <c r="D25" s="47">
        <f t="shared" ca="1" si="1"/>
        <v>9.117100370764919E-2</v>
      </c>
      <c r="E25">
        <f t="shared" ref="E25:E27" ca="1" si="4">C25+D25</f>
        <v>2.3911710037076492</v>
      </c>
      <c r="G25" t="s">
        <v>536</v>
      </c>
    </row>
    <row r="26" spans="1:7" x14ac:dyDescent="0.25">
      <c r="A26">
        <v>7</v>
      </c>
      <c r="B26">
        <f t="shared" si="3"/>
        <v>40</v>
      </c>
      <c r="C26" s="47">
        <f t="shared" ref="C26:C48" si="5">beta0+beta1*B26</f>
        <v>2.4</v>
      </c>
      <c r="D26" s="47">
        <f t="shared" ca="1" si="1"/>
        <v>-5.1885112325458851E-2</v>
      </c>
      <c r="E26">
        <f t="shared" ca="1" si="4"/>
        <v>2.3481148876745412</v>
      </c>
      <c r="G26" t="s">
        <v>661</v>
      </c>
    </row>
    <row r="27" spans="1:7" x14ac:dyDescent="0.25">
      <c r="A27">
        <v>8</v>
      </c>
      <c r="B27">
        <f t="shared" si="3"/>
        <v>40</v>
      </c>
      <c r="C27" s="47">
        <f t="shared" si="5"/>
        <v>2.4</v>
      </c>
      <c r="D27" s="47">
        <f t="shared" ca="1" si="1"/>
        <v>-5.7468888360066445E-2</v>
      </c>
      <c r="E27">
        <f t="shared" ca="1" si="4"/>
        <v>2.3425311116399334</v>
      </c>
      <c r="G27" s="10"/>
    </row>
    <row r="28" spans="1:7" x14ac:dyDescent="0.25">
      <c r="A28">
        <v>9</v>
      </c>
      <c r="B28">
        <f t="shared" si="3"/>
        <v>40</v>
      </c>
      <c r="C28" s="47">
        <f t="shared" si="5"/>
        <v>2.4</v>
      </c>
      <c r="D28" s="47">
        <f t="shared" ca="1" si="1"/>
        <v>-0.1299404108843317</v>
      </c>
      <c r="E28">
        <f t="shared" ref="E28:E48" ca="1" si="6">C28+D28</f>
        <v>2.2700595891156681</v>
      </c>
    </row>
    <row r="29" spans="1:7" x14ac:dyDescent="0.25">
      <c r="A29">
        <v>10</v>
      </c>
      <c r="B29">
        <f t="shared" si="3"/>
        <v>50</v>
      </c>
      <c r="C29" s="47">
        <f t="shared" si="5"/>
        <v>2.5</v>
      </c>
      <c r="D29" s="47">
        <f t="shared" ca="1" si="1"/>
        <v>3.7563982185723661E-2</v>
      </c>
      <c r="E29">
        <f t="shared" ca="1" si="6"/>
        <v>2.5375639821857239</v>
      </c>
    </row>
    <row r="30" spans="1:7" x14ac:dyDescent="0.25">
      <c r="A30">
        <v>11</v>
      </c>
      <c r="B30">
        <f t="shared" si="3"/>
        <v>50</v>
      </c>
      <c r="C30" s="47">
        <f t="shared" si="5"/>
        <v>2.5</v>
      </c>
      <c r="D30" s="47">
        <f t="shared" ca="1" si="1"/>
        <v>-4.2157303787870339E-2</v>
      </c>
      <c r="E30">
        <f t="shared" ca="1" si="6"/>
        <v>2.4578426962121296</v>
      </c>
    </row>
    <row r="31" spans="1:7" x14ac:dyDescent="0.25">
      <c r="A31">
        <v>12</v>
      </c>
      <c r="B31">
        <f t="shared" si="3"/>
        <v>50</v>
      </c>
      <c r="C31" s="47">
        <f t="shared" si="5"/>
        <v>2.5</v>
      </c>
      <c r="D31" s="47">
        <f t="shared" ca="1" si="1"/>
        <v>-0.13364440664345009</v>
      </c>
      <c r="E31">
        <f t="shared" ca="1" si="6"/>
        <v>2.3663555933565501</v>
      </c>
    </row>
    <row r="32" spans="1:7" x14ac:dyDescent="0.25">
      <c r="A32">
        <v>13</v>
      </c>
      <c r="B32">
        <f t="shared" si="3"/>
        <v>60</v>
      </c>
      <c r="C32" s="47">
        <f t="shared" si="5"/>
        <v>2.6</v>
      </c>
      <c r="D32" s="47">
        <f t="shared" ca="1" si="1"/>
        <v>0.1374656952869682</v>
      </c>
      <c r="E32">
        <f t="shared" ca="1" si="6"/>
        <v>2.7374656952869683</v>
      </c>
    </row>
    <row r="33" spans="1:5" x14ac:dyDescent="0.25">
      <c r="A33">
        <v>14</v>
      </c>
      <c r="B33">
        <f t="shared" si="3"/>
        <v>60</v>
      </c>
      <c r="C33" s="47">
        <f t="shared" si="5"/>
        <v>2.6</v>
      </c>
      <c r="D33" s="47">
        <f t="shared" ca="1" si="1"/>
        <v>3.2707885895088954E-3</v>
      </c>
      <c r="E33">
        <f t="shared" ca="1" si="6"/>
        <v>2.603270788589509</v>
      </c>
    </row>
    <row r="34" spans="1:5" x14ac:dyDescent="0.25">
      <c r="A34">
        <v>15</v>
      </c>
      <c r="B34">
        <f t="shared" si="3"/>
        <v>60</v>
      </c>
      <c r="C34" s="47">
        <f t="shared" si="5"/>
        <v>2.6</v>
      </c>
      <c r="D34" s="47">
        <f t="shared" ca="1" si="1"/>
        <v>-9.0135758364186969E-2</v>
      </c>
      <c r="E34">
        <f t="shared" ca="1" si="6"/>
        <v>2.509864241635813</v>
      </c>
    </row>
    <row r="35" spans="1:5" x14ac:dyDescent="0.25">
      <c r="A35">
        <v>16</v>
      </c>
      <c r="B35">
        <f t="shared" si="3"/>
        <v>70</v>
      </c>
      <c r="C35" s="47">
        <f t="shared" si="5"/>
        <v>2.7</v>
      </c>
      <c r="D35" s="47">
        <f t="shared" ca="1" si="1"/>
        <v>0.18260088915410402</v>
      </c>
      <c r="E35">
        <f t="shared" ca="1" si="6"/>
        <v>2.8826008891541042</v>
      </c>
    </row>
    <row r="36" spans="1:5" x14ac:dyDescent="0.25">
      <c r="A36">
        <v>17</v>
      </c>
      <c r="B36">
        <f t="shared" si="3"/>
        <v>70</v>
      </c>
      <c r="C36" s="47">
        <f t="shared" si="5"/>
        <v>2.7</v>
      </c>
      <c r="D36" s="47">
        <f t="shared" ca="1" si="1"/>
        <v>5.0432076604715929E-2</v>
      </c>
      <c r="E36">
        <f t="shared" ca="1" si="6"/>
        <v>2.7504320766047159</v>
      </c>
    </row>
    <row r="37" spans="1:5" x14ac:dyDescent="0.25">
      <c r="A37">
        <v>18</v>
      </c>
      <c r="B37">
        <f t="shared" si="3"/>
        <v>70</v>
      </c>
      <c r="C37" s="47">
        <f t="shared" si="5"/>
        <v>2.7</v>
      </c>
      <c r="D37" s="47">
        <f t="shared" ca="1" si="1"/>
        <v>0.21344434219209574</v>
      </c>
      <c r="E37">
        <f t="shared" ca="1" si="6"/>
        <v>2.9134443421920961</v>
      </c>
    </row>
    <row r="38" spans="1:5" x14ac:dyDescent="0.25">
      <c r="A38">
        <v>19</v>
      </c>
      <c r="B38">
        <f t="shared" si="3"/>
        <v>80</v>
      </c>
      <c r="C38" s="47">
        <f t="shared" si="5"/>
        <v>2.8</v>
      </c>
      <c r="D38" s="47">
        <f t="shared" ca="1" si="1"/>
        <v>-0.13416442029901302</v>
      </c>
      <c r="E38">
        <f t="shared" ca="1" si="6"/>
        <v>2.6658355797009867</v>
      </c>
    </row>
    <row r="39" spans="1:5" x14ac:dyDescent="0.25">
      <c r="A39">
        <v>20</v>
      </c>
      <c r="B39">
        <f t="shared" si="3"/>
        <v>80</v>
      </c>
      <c r="C39" s="47">
        <f t="shared" si="5"/>
        <v>2.8</v>
      </c>
      <c r="D39" s="47">
        <f t="shared" ca="1" si="1"/>
        <v>7.8077069727918768E-3</v>
      </c>
      <c r="E39">
        <f t="shared" ca="1" si="6"/>
        <v>2.8078077069727918</v>
      </c>
    </row>
    <row r="40" spans="1:5" x14ac:dyDescent="0.25">
      <c r="A40">
        <v>21</v>
      </c>
      <c r="B40">
        <f t="shared" si="3"/>
        <v>80</v>
      </c>
      <c r="C40" s="47">
        <f t="shared" si="5"/>
        <v>2.8</v>
      </c>
      <c r="D40" s="47">
        <f t="shared" ca="1" si="1"/>
        <v>-4.2024660780558103E-3</v>
      </c>
      <c r="E40">
        <f t="shared" ca="1" si="6"/>
        <v>2.7957975339219439</v>
      </c>
    </row>
    <row r="41" spans="1:5" x14ac:dyDescent="0.25">
      <c r="A41">
        <v>22</v>
      </c>
      <c r="B41">
        <f t="shared" si="3"/>
        <v>90</v>
      </c>
      <c r="C41" s="47">
        <f t="shared" si="5"/>
        <v>2.9</v>
      </c>
      <c r="D41" s="47">
        <f t="shared" ca="1" si="1"/>
        <v>-0.13539411596320969</v>
      </c>
      <c r="E41">
        <f t="shared" ca="1" si="6"/>
        <v>2.7646058840367904</v>
      </c>
    </row>
    <row r="42" spans="1:5" x14ac:dyDescent="0.25">
      <c r="A42">
        <v>23</v>
      </c>
      <c r="B42">
        <f t="shared" si="3"/>
        <v>90</v>
      </c>
      <c r="C42" s="47">
        <f t="shared" si="5"/>
        <v>2.9</v>
      </c>
      <c r="D42" s="47">
        <f t="shared" ca="1" si="1"/>
        <v>2.6364583323792981E-3</v>
      </c>
      <c r="E42">
        <f t="shared" ca="1" si="6"/>
        <v>2.9026364583323794</v>
      </c>
    </row>
    <row r="43" spans="1:5" x14ac:dyDescent="0.25">
      <c r="A43">
        <v>24</v>
      </c>
      <c r="B43">
        <f t="shared" si="3"/>
        <v>90</v>
      </c>
      <c r="C43" s="47">
        <f t="shared" si="5"/>
        <v>2.9</v>
      </c>
      <c r="D43" s="47">
        <f t="shared" ca="1" si="1"/>
        <v>0.11833782214155637</v>
      </c>
      <c r="E43">
        <f t="shared" ca="1" si="6"/>
        <v>3.0183378221415564</v>
      </c>
    </row>
    <row r="44" spans="1:5" x14ac:dyDescent="0.25">
      <c r="A44">
        <v>25</v>
      </c>
      <c r="B44">
        <f t="shared" si="3"/>
        <v>100</v>
      </c>
      <c r="C44" s="47">
        <f t="shared" si="5"/>
        <v>3</v>
      </c>
      <c r="D44" s="47">
        <f t="shared" ca="1" si="1"/>
        <v>-9.2859765343719897E-2</v>
      </c>
      <c r="E44">
        <f t="shared" ca="1" si="6"/>
        <v>2.9071402346562802</v>
      </c>
    </row>
    <row r="45" spans="1:5" x14ac:dyDescent="0.25">
      <c r="A45">
        <v>26</v>
      </c>
      <c r="B45">
        <f t="shared" si="3"/>
        <v>100</v>
      </c>
      <c r="C45" s="47">
        <f t="shared" si="5"/>
        <v>3</v>
      </c>
      <c r="D45" s="47">
        <f t="shared" ca="1" si="1"/>
        <v>-0.11949692104152693</v>
      </c>
      <c r="E45">
        <f t="shared" ca="1" si="6"/>
        <v>2.8805030789584731</v>
      </c>
    </row>
    <row r="46" spans="1:5" x14ac:dyDescent="0.25">
      <c r="A46">
        <v>27</v>
      </c>
      <c r="B46">
        <f t="shared" si="3"/>
        <v>100</v>
      </c>
      <c r="C46" s="47">
        <f t="shared" si="5"/>
        <v>3</v>
      </c>
      <c r="D46" s="47">
        <f t="shared" ca="1" si="1"/>
        <v>-8.2267768664288754E-2</v>
      </c>
      <c r="E46">
        <f t="shared" ca="1" si="6"/>
        <v>2.9177322313357115</v>
      </c>
    </row>
    <row r="47" spans="1:5" x14ac:dyDescent="0.25">
      <c r="A47">
        <v>28</v>
      </c>
      <c r="B47">
        <f t="shared" si="3"/>
        <v>110</v>
      </c>
      <c r="C47" s="47">
        <f t="shared" si="5"/>
        <v>3.1</v>
      </c>
      <c r="D47" s="47">
        <f t="shared" ca="1" si="1"/>
        <v>4.7906038788057374E-2</v>
      </c>
      <c r="E47">
        <f t="shared" ca="1" si="6"/>
        <v>3.1479060387880575</v>
      </c>
    </row>
    <row r="48" spans="1:5" x14ac:dyDescent="0.25">
      <c r="A48">
        <v>29</v>
      </c>
      <c r="B48">
        <f t="shared" si="3"/>
        <v>110</v>
      </c>
      <c r="C48" s="47">
        <f t="shared" si="5"/>
        <v>3.1</v>
      </c>
      <c r="D48" s="47">
        <f t="shared" ca="1" si="1"/>
        <v>-5.535902344730334E-2</v>
      </c>
      <c r="E48">
        <f t="shared" ca="1" si="6"/>
        <v>3.0446409765526967</v>
      </c>
    </row>
    <row r="49" spans="1:5" x14ac:dyDescent="0.25">
      <c r="A49">
        <v>30</v>
      </c>
      <c r="B49">
        <f t="shared" si="3"/>
        <v>110</v>
      </c>
      <c r="C49" s="47">
        <f t="shared" ref="C49" si="7">beta0+beta1*B49</f>
        <v>3.1</v>
      </c>
      <c r="D49" s="47">
        <f t="shared" ca="1" si="1"/>
        <v>-0.18505637820572104</v>
      </c>
      <c r="E49">
        <f t="shared" ref="E49" ca="1" si="8">C49+D49</f>
        <v>2.9149436217942792</v>
      </c>
    </row>
    <row r="55" spans="1:5" x14ac:dyDescent="0.25">
      <c r="A55" t="s">
        <v>161</v>
      </c>
    </row>
    <row r="56" spans="1:5" x14ac:dyDescent="0.25">
      <c r="A56" t="s">
        <v>162</v>
      </c>
    </row>
    <row r="57" spans="1:5" x14ac:dyDescent="0.25">
      <c r="A57" t="s">
        <v>163</v>
      </c>
    </row>
    <row r="58" spans="1:5" x14ac:dyDescent="0.25">
      <c r="A58" t="s">
        <v>164</v>
      </c>
    </row>
    <row r="59" spans="1:5" x14ac:dyDescent="0.25">
      <c r="A59" t="s">
        <v>165</v>
      </c>
    </row>
    <row r="61" spans="1:5" x14ac:dyDescent="0.25">
      <c r="A61" t="s">
        <v>659</v>
      </c>
    </row>
    <row r="62" spans="1:5" x14ac:dyDescent="0.25">
      <c r="A62" t="s">
        <v>658</v>
      </c>
    </row>
    <row r="63" spans="1:5" x14ac:dyDescent="0.25">
      <c r="A63" t="s">
        <v>660</v>
      </c>
    </row>
    <row r="65" spans="1:1" x14ac:dyDescent="0.25">
      <c r="A65" t="s">
        <v>665</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8"/>
  <sheetViews>
    <sheetView zoomScale="85" zoomScaleNormal="85" workbookViewId="0">
      <selection activeCell="E12" sqref="E12"/>
    </sheetView>
  </sheetViews>
  <sheetFormatPr defaultRowHeight="15" x14ac:dyDescent="0.25"/>
  <cols>
    <col min="6" max="6" width="9.42578125" bestFit="1" customWidth="1"/>
  </cols>
  <sheetData>
    <row r="1" spans="1:9" ht="18" thickBot="1" x14ac:dyDescent="0.35">
      <c r="A1" s="54" t="s">
        <v>675</v>
      </c>
    </row>
    <row r="2" spans="1:9" ht="15.75" thickTop="1" x14ac:dyDescent="0.25"/>
    <row r="3" spans="1:9" x14ac:dyDescent="0.25">
      <c r="B3" t="s">
        <v>676</v>
      </c>
    </row>
    <row r="4" spans="1:9" x14ac:dyDescent="0.25">
      <c r="B4" t="s">
        <v>677</v>
      </c>
    </row>
    <row r="5" spans="1:9" x14ac:dyDescent="0.25">
      <c r="B5" t="s">
        <v>678</v>
      </c>
    </row>
    <row r="7" spans="1:9" ht="15.75" thickBot="1" x14ac:dyDescent="0.3">
      <c r="B7" s="71" t="s">
        <v>724</v>
      </c>
    </row>
    <row r="8" spans="1:9" x14ac:dyDescent="0.25">
      <c r="B8" t="s">
        <v>702</v>
      </c>
    </row>
    <row r="9" spans="1:9" x14ac:dyDescent="0.25">
      <c r="B9" t="s">
        <v>707</v>
      </c>
    </row>
    <row r="10" spans="1:9" x14ac:dyDescent="0.25">
      <c r="B10" t="s">
        <v>703</v>
      </c>
    </row>
    <row r="11" spans="1:9" x14ac:dyDescent="0.25">
      <c r="B11" t="s">
        <v>717</v>
      </c>
    </row>
    <row r="12" spans="1:9" x14ac:dyDescent="0.25">
      <c r="D12" t="s">
        <v>89</v>
      </c>
      <c r="E12" s="10">
        <v>8</v>
      </c>
    </row>
    <row r="13" spans="1:9" x14ac:dyDescent="0.25">
      <c r="D13" t="s">
        <v>706</v>
      </c>
      <c r="E13" s="10">
        <v>1E-4</v>
      </c>
      <c r="I13" t="s">
        <v>725</v>
      </c>
    </row>
    <row r="15" spans="1:9" ht="51.75" x14ac:dyDescent="0.25">
      <c r="B15" t="s">
        <v>46</v>
      </c>
      <c r="C15" s="68" t="s">
        <v>670</v>
      </c>
      <c r="D15" s="2" t="s">
        <v>671</v>
      </c>
      <c r="E15" t="s">
        <v>722</v>
      </c>
    </row>
    <row r="16" spans="1:9" x14ac:dyDescent="0.25">
      <c r="B16">
        <v>1</v>
      </c>
      <c r="C16" s="5">
        <v>60697</v>
      </c>
      <c r="D16" s="3">
        <v>16.644444444444446</v>
      </c>
      <c r="E16" s="69">
        <f>$E$12+$E$13*C16</f>
        <v>14.069700000000001</v>
      </c>
    </row>
    <row r="17" spans="2:5" x14ac:dyDescent="0.25">
      <c r="B17">
        <v>2</v>
      </c>
      <c r="C17" s="5">
        <v>50156</v>
      </c>
      <c r="D17" s="3">
        <v>15.991228070175438</v>
      </c>
      <c r="E17" s="69">
        <f t="shared" ref="E17:E25" si="0">$E$12+$E$13*C17</f>
        <v>13.015599999999999</v>
      </c>
    </row>
    <row r="18" spans="2:5" x14ac:dyDescent="0.25">
      <c r="B18">
        <v>3</v>
      </c>
      <c r="C18" s="5">
        <v>45448</v>
      </c>
      <c r="D18" s="3">
        <v>16.55952380952381</v>
      </c>
      <c r="E18" s="69">
        <f t="shared" si="0"/>
        <v>12.5448</v>
      </c>
    </row>
    <row r="19" spans="2:5" x14ac:dyDescent="0.25">
      <c r="B19">
        <v>4</v>
      </c>
      <c r="C19" s="5">
        <v>46504</v>
      </c>
      <c r="D19" s="3">
        <v>13.487603305785123</v>
      </c>
      <c r="E19" s="69">
        <f t="shared" si="0"/>
        <v>12.650400000000001</v>
      </c>
    </row>
    <row r="20" spans="2:5" x14ac:dyDescent="0.25">
      <c r="B20">
        <v>5</v>
      </c>
      <c r="C20" s="5">
        <v>52424</v>
      </c>
      <c r="D20" s="3">
        <v>16.048780487804876</v>
      </c>
      <c r="E20" s="69">
        <f t="shared" si="0"/>
        <v>13.2424</v>
      </c>
    </row>
    <row r="21" spans="2:5" x14ac:dyDescent="0.25">
      <c r="B21">
        <v>6</v>
      </c>
      <c r="C21" s="5">
        <v>42508</v>
      </c>
      <c r="D21" s="3">
        <v>14.808219178082192</v>
      </c>
      <c r="E21" s="69">
        <f t="shared" si="0"/>
        <v>12.2508</v>
      </c>
    </row>
    <row r="22" spans="2:5" x14ac:dyDescent="0.25">
      <c r="B22">
        <v>7</v>
      </c>
      <c r="C22" s="5">
        <v>50831</v>
      </c>
      <c r="D22" s="3">
        <v>18.939110070257613</v>
      </c>
      <c r="E22" s="69">
        <f t="shared" si="0"/>
        <v>13.0831</v>
      </c>
    </row>
    <row r="23" spans="2:5" x14ac:dyDescent="0.25">
      <c r="B23">
        <v>8</v>
      </c>
      <c r="C23" s="5">
        <v>48376</v>
      </c>
      <c r="D23" s="3">
        <v>16.607279693486589</v>
      </c>
      <c r="E23" s="69">
        <f t="shared" si="0"/>
        <v>12.8376</v>
      </c>
    </row>
    <row r="24" spans="2:5" x14ac:dyDescent="0.25">
      <c r="B24">
        <v>9</v>
      </c>
      <c r="C24" s="5">
        <v>49992</v>
      </c>
      <c r="D24" s="3">
        <v>14.943127962085308</v>
      </c>
      <c r="E24" s="69">
        <f t="shared" si="0"/>
        <v>12.9992</v>
      </c>
    </row>
    <row r="25" spans="2:5" x14ac:dyDescent="0.25">
      <c r="B25">
        <v>10</v>
      </c>
      <c r="C25" s="5">
        <v>45368</v>
      </c>
      <c r="D25" s="3">
        <v>15.847619047619048</v>
      </c>
      <c r="E25" s="69">
        <f t="shared" si="0"/>
        <v>12.536799999999999</v>
      </c>
    </row>
    <row r="27" spans="2:5" x14ac:dyDescent="0.25">
      <c r="B27" t="s">
        <v>708</v>
      </c>
    </row>
    <row r="28" spans="2:5" x14ac:dyDescent="0.25">
      <c r="B28" s="10"/>
    </row>
    <row r="30" spans="2:5" x14ac:dyDescent="0.25">
      <c r="B30" t="s">
        <v>709</v>
      </c>
    </row>
    <row r="31" spans="2:5" x14ac:dyDescent="0.25">
      <c r="B31" s="10"/>
    </row>
    <row r="32" spans="2:5" x14ac:dyDescent="0.25">
      <c r="B32" s="10"/>
    </row>
    <row r="35" spans="2:3" x14ac:dyDescent="0.25">
      <c r="B35" t="s">
        <v>704</v>
      </c>
    </row>
    <row r="36" spans="2:3" x14ac:dyDescent="0.25">
      <c r="B36" t="s">
        <v>705</v>
      </c>
    </row>
    <row r="37" spans="2:3" x14ac:dyDescent="0.25">
      <c r="B37" t="s">
        <v>679</v>
      </c>
    </row>
    <row r="39" spans="2:3" x14ac:dyDescent="0.25">
      <c r="B39" t="s">
        <v>687</v>
      </c>
      <c r="C39" t="s">
        <v>682</v>
      </c>
    </row>
    <row r="40" spans="2:3" x14ac:dyDescent="0.25">
      <c r="B40" t="s">
        <v>688</v>
      </c>
      <c r="C40" t="s">
        <v>683</v>
      </c>
    </row>
    <row r="41" spans="2:3" x14ac:dyDescent="0.25">
      <c r="B41" t="s">
        <v>689</v>
      </c>
      <c r="C41" t="s">
        <v>684</v>
      </c>
    </row>
    <row r="42" spans="2:3" x14ac:dyDescent="0.25">
      <c r="B42" t="s">
        <v>690</v>
      </c>
      <c r="C42" t="s">
        <v>693</v>
      </c>
    </row>
    <row r="43" spans="2:3" x14ac:dyDescent="0.25">
      <c r="B43" t="s">
        <v>691</v>
      </c>
      <c r="C43" t="s">
        <v>685</v>
      </c>
    </row>
    <row r="44" spans="2:3" x14ac:dyDescent="0.25">
      <c r="B44" t="s">
        <v>692</v>
      </c>
      <c r="C44" t="s">
        <v>686</v>
      </c>
    </row>
    <row r="45" spans="2:3" x14ac:dyDescent="0.25">
      <c r="B45" t="s">
        <v>680</v>
      </c>
    </row>
    <row r="47" spans="2:3" ht="15.75" thickBot="1" x14ac:dyDescent="0.3">
      <c r="B47" s="71" t="s">
        <v>723</v>
      </c>
    </row>
    <row r="48" spans="2:3" x14ac:dyDescent="0.25">
      <c r="B48" t="s">
        <v>710</v>
      </c>
    </row>
    <row r="49" spans="2:6" x14ac:dyDescent="0.25">
      <c r="B49" t="s">
        <v>712</v>
      </c>
    </row>
    <row r="50" spans="2:6" x14ac:dyDescent="0.25">
      <c r="B50" t="s">
        <v>713</v>
      </c>
    </row>
    <row r="51" spans="2:6" x14ac:dyDescent="0.25">
      <c r="B51" t="s">
        <v>711</v>
      </c>
    </row>
    <row r="52" spans="2:6" x14ac:dyDescent="0.25">
      <c r="B52" t="s">
        <v>714</v>
      </c>
    </row>
    <row r="54" spans="2:6" ht="51.75" x14ac:dyDescent="0.25">
      <c r="B54" t="s">
        <v>700</v>
      </c>
      <c r="C54" t="s">
        <v>701</v>
      </c>
      <c r="D54" t="s">
        <v>46</v>
      </c>
      <c r="E54" s="68" t="s">
        <v>670</v>
      </c>
      <c r="F54" s="2" t="s">
        <v>671</v>
      </c>
    </row>
    <row r="55" spans="2:6" x14ac:dyDescent="0.25">
      <c r="B55">
        <f>RANK(E55,E$55:E$64,1)</f>
        <v>10</v>
      </c>
      <c r="C55">
        <f>RANK(F55,F$55:F$64,1)</f>
        <v>9</v>
      </c>
      <c r="D55">
        <v>1</v>
      </c>
      <c r="E55" s="5">
        <v>60697</v>
      </c>
      <c r="F55" s="3">
        <v>16.644444444444446</v>
      </c>
    </row>
    <row r="56" spans="2:6" x14ac:dyDescent="0.25">
      <c r="B56">
        <f t="shared" ref="B56:C64" si="1">RANK(E56,E$55:E$64,1)</f>
        <v>7</v>
      </c>
      <c r="C56">
        <f t="shared" si="1"/>
        <v>5</v>
      </c>
      <c r="D56">
        <v>2</v>
      </c>
      <c r="E56" s="5">
        <v>50156</v>
      </c>
      <c r="F56" s="3">
        <v>15.991228070175438</v>
      </c>
    </row>
    <row r="57" spans="2:6" x14ac:dyDescent="0.25">
      <c r="B57">
        <f t="shared" si="1"/>
        <v>3</v>
      </c>
      <c r="C57">
        <f t="shared" si="1"/>
        <v>7</v>
      </c>
      <c r="D57">
        <v>3</v>
      </c>
      <c r="E57" s="5">
        <v>45448</v>
      </c>
      <c r="F57" s="3">
        <v>16.55952380952381</v>
      </c>
    </row>
    <row r="58" spans="2:6" x14ac:dyDescent="0.25">
      <c r="B58">
        <f t="shared" si="1"/>
        <v>4</v>
      </c>
      <c r="C58">
        <f t="shared" si="1"/>
        <v>1</v>
      </c>
      <c r="D58">
        <v>4</v>
      </c>
      <c r="E58" s="5">
        <v>46504</v>
      </c>
      <c r="F58" s="3">
        <v>13.487603305785123</v>
      </c>
    </row>
    <row r="59" spans="2:6" x14ac:dyDescent="0.25">
      <c r="B59">
        <f t="shared" si="1"/>
        <v>9</v>
      </c>
      <c r="C59">
        <f t="shared" si="1"/>
        <v>6</v>
      </c>
      <c r="D59">
        <v>5</v>
      </c>
      <c r="E59" s="5">
        <v>52424</v>
      </c>
      <c r="F59" s="3">
        <v>16.048780487804876</v>
      </c>
    </row>
    <row r="60" spans="2:6" x14ac:dyDescent="0.25">
      <c r="B60">
        <f t="shared" si="1"/>
        <v>1</v>
      </c>
      <c r="C60">
        <f t="shared" si="1"/>
        <v>2</v>
      </c>
      <c r="D60">
        <v>6</v>
      </c>
      <c r="E60" s="5">
        <v>42508</v>
      </c>
      <c r="F60" s="3">
        <v>14.808219178082192</v>
      </c>
    </row>
    <row r="61" spans="2:6" x14ac:dyDescent="0.25">
      <c r="B61">
        <f t="shared" si="1"/>
        <v>8</v>
      </c>
      <c r="C61">
        <f t="shared" si="1"/>
        <v>10</v>
      </c>
      <c r="D61">
        <v>7</v>
      </c>
      <c r="E61" s="5">
        <v>50831</v>
      </c>
      <c r="F61" s="3">
        <v>18.939110070257613</v>
      </c>
    </row>
    <row r="62" spans="2:6" x14ac:dyDescent="0.25">
      <c r="B62">
        <f t="shared" si="1"/>
        <v>5</v>
      </c>
      <c r="C62">
        <f t="shared" si="1"/>
        <v>8</v>
      </c>
      <c r="D62">
        <v>8</v>
      </c>
      <c r="E62" s="5">
        <v>48376</v>
      </c>
      <c r="F62" s="3">
        <v>16.607279693486589</v>
      </c>
    </row>
    <row r="63" spans="2:6" x14ac:dyDescent="0.25">
      <c r="B63">
        <f t="shared" si="1"/>
        <v>6</v>
      </c>
      <c r="C63">
        <f t="shared" si="1"/>
        <v>3</v>
      </c>
      <c r="D63">
        <v>9</v>
      </c>
      <c r="E63" s="5">
        <v>49992</v>
      </c>
      <c r="F63" s="3">
        <v>14.943127962085308</v>
      </c>
    </row>
    <row r="64" spans="2:6" x14ac:dyDescent="0.25">
      <c r="B64">
        <f t="shared" si="1"/>
        <v>2</v>
      </c>
      <c r="C64">
        <f t="shared" si="1"/>
        <v>4</v>
      </c>
      <c r="D64">
        <v>10</v>
      </c>
      <c r="E64" s="5">
        <v>45368</v>
      </c>
      <c r="F64" s="3">
        <v>15.847619047619048</v>
      </c>
    </row>
    <row r="65" spans="4:10" x14ac:dyDescent="0.25">
      <c r="E65" s="5"/>
      <c r="F65" s="3"/>
    </row>
    <row r="67" spans="4:10" x14ac:dyDescent="0.25">
      <c r="D67" t="s">
        <v>715</v>
      </c>
    </row>
    <row r="68" spans="4:10" x14ac:dyDescent="0.25">
      <c r="D68" t="s">
        <v>718</v>
      </c>
      <c r="H68" t="s">
        <v>167</v>
      </c>
      <c r="I68">
        <f>E12</f>
        <v>8</v>
      </c>
    </row>
    <row r="69" spans="4:10" x14ac:dyDescent="0.25">
      <c r="D69" t="s">
        <v>719</v>
      </c>
      <c r="H69" t="s">
        <v>88</v>
      </c>
      <c r="I69">
        <f>E13</f>
        <v>1E-4</v>
      </c>
    </row>
    <row r="71" spans="4:10" x14ac:dyDescent="0.25">
      <c r="D71" t="s">
        <v>694</v>
      </c>
    </row>
    <row r="72" spans="4:10" x14ac:dyDescent="0.25">
      <c r="E72" t="s">
        <v>55</v>
      </c>
      <c r="F72" t="s">
        <v>390</v>
      </c>
      <c r="J72" t="s">
        <v>716</v>
      </c>
    </row>
    <row r="73" spans="4:10" x14ac:dyDescent="0.25">
      <c r="D73" t="s">
        <v>696</v>
      </c>
      <c r="E73">
        <f>VLOOKUP(1,B55:F64,4,FALSE)</f>
        <v>42508</v>
      </c>
      <c r="F73">
        <f>VLOOKUP(1,B55:F64,5,FALSE)</f>
        <v>14.808219178082192</v>
      </c>
      <c r="H73" t="s">
        <v>167</v>
      </c>
      <c r="I73">
        <f>F73-I74*E73</f>
        <v>10.516929738171989</v>
      </c>
      <c r="J73" s="70">
        <f>I73/I68-1</f>
        <v>0.31461621727149858</v>
      </c>
    </row>
    <row r="74" spans="4:10" x14ac:dyDescent="0.25">
      <c r="D74" t="s">
        <v>695</v>
      </c>
      <c r="E74">
        <f>VLOOKUP(MAX(B55:B64),B55:F64,4,FALSE)</f>
        <v>60697</v>
      </c>
      <c r="F74">
        <f>VLOOKUP(MAX(B55:B64),B55:F64,5,FALSE)</f>
        <v>16.644444444444446</v>
      </c>
      <c r="H74" t="s">
        <v>88</v>
      </c>
      <c r="I74">
        <f>(F74-F73)/(E74-E73)</f>
        <v>1.0095251340712815E-4</v>
      </c>
      <c r="J74" s="70">
        <f>I74/I69-1</f>
        <v>9.5251340712814159E-3</v>
      </c>
    </row>
    <row r="76" spans="4:10" x14ac:dyDescent="0.25">
      <c r="D76" t="s">
        <v>699</v>
      </c>
    </row>
    <row r="77" spans="4:10" x14ac:dyDescent="0.25">
      <c r="E77" t="s">
        <v>55</v>
      </c>
      <c r="F77" t="s">
        <v>390</v>
      </c>
      <c r="J77" t="s">
        <v>716</v>
      </c>
    </row>
    <row r="78" spans="4:10" x14ac:dyDescent="0.25">
      <c r="D78" t="s">
        <v>697</v>
      </c>
      <c r="E78">
        <f>VLOOKUP(1,C55:F64,3,FALSE)</f>
        <v>46504</v>
      </c>
      <c r="F78">
        <f>VLOOKUP(1,C55:F64,4,FALSE)</f>
        <v>13.487603305785123</v>
      </c>
      <c r="H78" t="s">
        <v>167</v>
      </c>
      <c r="I78">
        <f>F78-I79*E78</f>
        <v>-45.101920746682787</v>
      </c>
      <c r="J78" s="70">
        <f>I78/I68-1</f>
        <v>-6.6377400933353483</v>
      </c>
    </row>
    <row r="79" spans="4:10" x14ac:dyDescent="0.25">
      <c r="D79" t="s">
        <v>698</v>
      </c>
      <c r="E79">
        <f>VLOOKUP(MAX(C55:C64),C55:F64,3,FALSE)</f>
        <v>50831</v>
      </c>
      <c r="F79">
        <f>VLOOKUP(MAX(C55:C64),C55:F64,4,FALSE)</f>
        <v>18.939110070257613</v>
      </c>
      <c r="H79" t="s">
        <v>88</v>
      </c>
      <c r="I79">
        <f>(F79-F78)/(E79-E78)</f>
        <v>1.2598813876756388E-3</v>
      </c>
      <c r="J79" s="70">
        <f>I79/I69-1</f>
        <v>11.598813876756388</v>
      </c>
    </row>
    <row r="81" spans="2:2" x14ac:dyDescent="0.25">
      <c r="B81" t="s">
        <v>720</v>
      </c>
    </row>
    <row r="82" spans="2:2" x14ac:dyDescent="0.25">
      <c r="B82" s="10"/>
    </row>
    <row r="83" spans="2:2" x14ac:dyDescent="0.25">
      <c r="B83" t="s">
        <v>721</v>
      </c>
    </row>
    <row r="84" spans="2:2" x14ac:dyDescent="0.25">
      <c r="B84" s="10"/>
    </row>
    <row r="89" spans="2:2" ht="15.75" thickBot="1" x14ac:dyDescent="0.3">
      <c r="B89" s="71" t="s">
        <v>726</v>
      </c>
    </row>
    <row r="91" spans="2:2" x14ac:dyDescent="0.25">
      <c r="B91" t="s">
        <v>727</v>
      </c>
    </row>
    <row r="92" spans="2:2" x14ac:dyDescent="0.25">
      <c r="B92" s="10"/>
    </row>
    <row r="93" spans="2:2" x14ac:dyDescent="0.25">
      <c r="B93" t="s">
        <v>728</v>
      </c>
    </row>
    <row r="94" spans="2:2" x14ac:dyDescent="0.25">
      <c r="B94" s="10"/>
    </row>
    <row r="95" spans="2:2" x14ac:dyDescent="0.25">
      <c r="B95" t="s">
        <v>729</v>
      </c>
    </row>
    <row r="96" spans="2:2" x14ac:dyDescent="0.25">
      <c r="B96" s="10"/>
    </row>
    <row r="98" spans="2:8" x14ac:dyDescent="0.25">
      <c r="B98" t="s">
        <v>730</v>
      </c>
    </row>
    <row r="99" spans="2:8" x14ac:dyDescent="0.25">
      <c r="B99" t="s">
        <v>731</v>
      </c>
    </row>
    <row r="100" spans="2:8" x14ac:dyDescent="0.25">
      <c r="B100" t="s">
        <v>735</v>
      </c>
    </row>
    <row r="101" spans="2:8" x14ac:dyDescent="0.25">
      <c r="B101" t="s">
        <v>732</v>
      </c>
    </row>
    <row r="102" spans="2:8" x14ac:dyDescent="0.25">
      <c r="B102" t="s">
        <v>734</v>
      </c>
    </row>
    <row r="103" spans="2:8" x14ac:dyDescent="0.25">
      <c r="B103" t="s">
        <v>46</v>
      </c>
      <c r="C103" t="s">
        <v>55</v>
      </c>
      <c r="D103" t="s">
        <v>390</v>
      </c>
    </row>
    <row r="104" spans="2:8" x14ac:dyDescent="0.25">
      <c r="B104" s="10">
        <v>2</v>
      </c>
      <c r="C104">
        <f>VLOOKUP(B104,$D$55:$F$64,2,FALSE)</f>
        <v>50156</v>
      </c>
      <c r="D104">
        <f>VLOOKUP(B104,$D$55:$F$64,3,FALSE)</f>
        <v>15.991228070175438</v>
      </c>
      <c r="F104" t="s">
        <v>167</v>
      </c>
      <c r="G104">
        <f>D104-G105*C104</f>
        <v>14.718477162493741</v>
      </c>
    </row>
    <row r="105" spans="2:8" x14ac:dyDescent="0.25">
      <c r="B105" s="10">
        <v>5</v>
      </c>
      <c r="C105">
        <f>VLOOKUP(B105,$D$55:$F$64,2,FALSE)</f>
        <v>52424</v>
      </c>
      <c r="D105">
        <f>VLOOKUP(B105,$D$55:$F$64,3,FALSE)</f>
        <v>16.048780487804876</v>
      </c>
      <c r="F105" t="s">
        <v>88</v>
      </c>
      <c r="G105">
        <f>(D105-D104)/(C105-C104)</f>
        <v>2.5375845515625206E-5</v>
      </c>
    </row>
    <row r="106" spans="2:8" ht="52.5" thickBot="1" x14ac:dyDescent="0.3">
      <c r="D106" t="s">
        <v>46</v>
      </c>
      <c r="E106" s="68" t="s">
        <v>670</v>
      </c>
      <c r="F106" s="2" t="s">
        <v>671</v>
      </c>
      <c r="G106" s="2" t="s">
        <v>733</v>
      </c>
      <c r="H106" t="s">
        <v>201</v>
      </c>
    </row>
    <row r="107" spans="2:8" x14ac:dyDescent="0.25">
      <c r="D107">
        <v>1</v>
      </c>
      <c r="E107" s="5">
        <v>60697</v>
      </c>
      <c r="F107" s="3">
        <v>16.644444444444446</v>
      </c>
      <c r="G107" s="72">
        <f>$G$104+$G$105*E107</f>
        <v>16.258714857755646</v>
      </c>
      <c r="H107" s="74">
        <f>F107-G107</f>
        <v>0.3857295866888002</v>
      </c>
    </row>
    <row r="108" spans="2:8" x14ac:dyDescent="0.25">
      <c r="D108">
        <v>2</v>
      </c>
      <c r="E108" s="5">
        <v>50156</v>
      </c>
      <c r="F108" s="3">
        <v>15.991228070175438</v>
      </c>
      <c r="G108" s="72">
        <f t="shared" ref="G108:G116" si="2">$G$104+$G$105*E108</f>
        <v>15.991228070175438</v>
      </c>
      <c r="H108" s="75">
        <f t="shared" ref="H108:H116" si="3">F108-G108</f>
        <v>0</v>
      </c>
    </row>
    <row r="109" spans="2:8" x14ac:dyDescent="0.25">
      <c r="D109">
        <v>3</v>
      </c>
      <c r="E109" s="5">
        <v>45448</v>
      </c>
      <c r="F109" s="3">
        <v>16.55952380952381</v>
      </c>
      <c r="G109" s="72">
        <f t="shared" si="2"/>
        <v>15.871758589487875</v>
      </c>
      <c r="H109" s="75">
        <f t="shared" si="3"/>
        <v>0.68776522003593499</v>
      </c>
    </row>
    <row r="110" spans="2:8" x14ac:dyDescent="0.25">
      <c r="D110">
        <v>4</v>
      </c>
      <c r="E110" s="5">
        <v>46504</v>
      </c>
      <c r="F110" s="3">
        <v>13.487603305785123</v>
      </c>
      <c r="G110" s="72">
        <f t="shared" si="2"/>
        <v>15.898555482352375</v>
      </c>
      <c r="H110" s="75">
        <f t="shared" si="3"/>
        <v>-2.4109521765672515</v>
      </c>
    </row>
    <row r="111" spans="2:8" x14ac:dyDescent="0.25">
      <c r="D111">
        <v>5</v>
      </c>
      <c r="E111" s="5">
        <v>52424</v>
      </c>
      <c r="F111" s="3">
        <v>16.048780487804876</v>
      </c>
      <c r="G111" s="72">
        <f t="shared" si="2"/>
        <v>16.048780487804876</v>
      </c>
      <c r="H111" s="75">
        <f t="shared" si="3"/>
        <v>0</v>
      </c>
    </row>
    <row r="112" spans="2:8" x14ac:dyDescent="0.25">
      <c r="D112">
        <v>6</v>
      </c>
      <c r="E112" s="5">
        <v>42508</v>
      </c>
      <c r="F112" s="3">
        <v>14.808219178082192</v>
      </c>
      <c r="G112" s="72">
        <f t="shared" si="2"/>
        <v>15.797153603671937</v>
      </c>
      <c r="H112" s="75">
        <f t="shared" si="3"/>
        <v>-0.9889344255897452</v>
      </c>
    </row>
    <row r="113" spans="2:8" x14ac:dyDescent="0.25">
      <c r="D113">
        <v>7</v>
      </c>
      <c r="E113" s="5">
        <v>50831</v>
      </c>
      <c r="F113" s="3">
        <v>18.939110070257613</v>
      </c>
      <c r="G113" s="72">
        <f t="shared" si="2"/>
        <v>16.008356765898487</v>
      </c>
      <c r="H113" s="75">
        <f t="shared" si="3"/>
        <v>2.9307533043591256</v>
      </c>
    </row>
    <row r="114" spans="2:8" x14ac:dyDescent="0.25">
      <c r="D114">
        <v>8</v>
      </c>
      <c r="E114" s="5">
        <v>48376</v>
      </c>
      <c r="F114" s="3">
        <v>16.607279693486589</v>
      </c>
      <c r="G114" s="72">
        <f t="shared" si="2"/>
        <v>15.946059065157627</v>
      </c>
      <c r="H114" s="75">
        <f t="shared" si="3"/>
        <v>0.66122062832896233</v>
      </c>
    </row>
    <row r="115" spans="2:8" x14ac:dyDescent="0.25">
      <c r="D115">
        <v>9</v>
      </c>
      <c r="E115" s="5">
        <v>49992</v>
      </c>
      <c r="F115" s="3">
        <v>14.943127962085308</v>
      </c>
      <c r="G115" s="72">
        <f t="shared" si="2"/>
        <v>15.987066431510875</v>
      </c>
      <c r="H115" s="75">
        <f t="shared" si="3"/>
        <v>-1.0439384694255676</v>
      </c>
    </row>
    <row r="116" spans="2:8" ht="15.75" thickBot="1" x14ac:dyDescent="0.3">
      <c r="D116">
        <v>10</v>
      </c>
      <c r="E116" s="5">
        <v>45368</v>
      </c>
      <c r="F116" s="3">
        <v>15.847619047619048</v>
      </c>
      <c r="G116" s="72">
        <f t="shared" si="2"/>
        <v>15.869728521846625</v>
      </c>
      <c r="H116" s="76">
        <f t="shared" si="3"/>
        <v>-2.2109474227576698E-2</v>
      </c>
    </row>
    <row r="118" spans="2:8" x14ac:dyDescent="0.25">
      <c r="B118" t="s">
        <v>736</v>
      </c>
    </row>
    <row r="119" spans="2:8" x14ac:dyDescent="0.25">
      <c r="B119" t="s">
        <v>737</v>
      </c>
    </row>
    <row r="120" spans="2:8" x14ac:dyDescent="0.25">
      <c r="B120" t="s">
        <v>740</v>
      </c>
    </row>
    <row r="121" spans="2:8" x14ac:dyDescent="0.25">
      <c r="B121" t="s">
        <v>738</v>
      </c>
    </row>
    <row r="122" spans="2:8" x14ac:dyDescent="0.25">
      <c r="B122" t="s">
        <v>739</v>
      </c>
    </row>
    <row r="123" spans="2:8" x14ac:dyDescent="0.25">
      <c r="B123" t="s">
        <v>741</v>
      </c>
    </row>
    <row r="125" spans="2:8" x14ac:dyDescent="0.25">
      <c r="B125" t="s">
        <v>742</v>
      </c>
    </row>
    <row r="126" spans="2:8" x14ac:dyDescent="0.25">
      <c r="B126" s="10"/>
    </row>
    <row r="127" spans="2:8" x14ac:dyDescent="0.25">
      <c r="B127" t="s">
        <v>743</v>
      </c>
    </row>
    <row r="128" spans="2:8" x14ac:dyDescent="0.25">
      <c r="B128" s="10"/>
    </row>
    <row r="130" spans="2:7" ht="15.75" thickBot="1" x14ac:dyDescent="0.3">
      <c r="B130" s="71" t="s">
        <v>744</v>
      </c>
    </row>
    <row r="132" spans="2:7" x14ac:dyDescent="0.25">
      <c r="B132" t="s">
        <v>745</v>
      </c>
    </row>
    <row r="133" spans="2:7" x14ac:dyDescent="0.25">
      <c r="B133" t="s">
        <v>750</v>
      </c>
    </row>
    <row r="134" spans="2:7" x14ac:dyDescent="0.25">
      <c r="E134" t="s">
        <v>167</v>
      </c>
      <c r="F134">
        <v>40.5</v>
      </c>
    </row>
    <row r="135" spans="2:7" x14ac:dyDescent="0.25">
      <c r="E135" t="s">
        <v>88</v>
      </c>
      <c r="F135">
        <v>-5.0000000000000001E-4</v>
      </c>
    </row>
    <row r="136" spans="2:7" ht="52.5" thickBot="1" x14ac:dyDescent="0.3">
      <c r="C136" t="s">
        <v>46</v>
      </c>
      <c r="D136" s="68" t="s">
        <v>670</v>
      </c>
      <c r="E136" s="2" t="s">
        <v>671</v>
      </c>
      <c r="F136" s="2" t="s">
        <v>733</v>
      </c>
      <c r="G136" t="s">
        <v>201</v>
      </c>
    </row>
    <row r="137" spans="2:7" x14ac:dyDescent="0.25">
      <c r="C137">
        <v>1</v>
      </c>
      <c r="D137" s="5">
        <v>60697</v>
      </c>
      <c r="E137" s="3">
        <v>16.644444444444446</v>
      </c>
      <c r="F137" s="50">
        <f>$F$134+$F$135*D137</f>
        <v>10.151499999999999</v>
      </c>
      <c r="G137" s="77">
        <f>E137-F137</f>
        <v>6.4929444444444471</v>
      </c>
    </row>
    <row r="138" spans="2:7" x14ac:dyDescent="0.25">
      <c r="C138">
        <v>2</v>
      </c>
      <c r="D138" s="5">
        <v>50156</v>
      </c>
      <c r="E138" s="3">
        <v>15.991228070175438</v>
      </c>
      <c r="F138" s="50">
        <f t="shared" ref="F138:F146" si="4">$F$134+$F$135*D138</f>
        <v>15.422000000000001</v>
      </c>
      <c r="G138" s="78">
        <f t="shared" ref="G138:G146" si="5">E138-F138</f>
        <v>0.56922807017543775</v>
      </c>
    </row>
    <row r="139" spans="2:7" x14ac:dyDescent="0.25">
      <c r="C139">
        <v>3</v>
      </c>
      <c r="D139" s="5">
        <v>45448</v>
      </c>
      <c r="E139" s="3">
        <v>16.55952380952381</v>
      </c>
      <c r="F139" s="50">
        <f t="shared" si="4"/>
        <v>17.776</v>
      </c>
      <c r="G139" s="78">
        <f t="shared" si="5"/>
        <v>-1.2164761904761896</v>
      </c>
    </row>
    <row r="140" spans="2:7" x14ac:dyDescent="0.25">
      <c r="C140">
        <v>4</v>
      </c>
      <c r="D140" s="5">
        <v>46504</v>
      </c>
      <c r="E140" s="3">
        <v>13.487603305785123</v>
      </c>
      <c r="F140" s="50">
        <f t="shared" si="4"/>
        <v>17.248000000000001</v>
      </c>
      <c r="G140" s="78">
        <f t="shared" si="5"/>
        <v>-3.7603966942148777</v>
      </c>
    </row>
    <row r="141" spans="2:7" x14ac:dyDescent="0.25">
      <c r="C141">
        <v>5</v>
      </c>
      <c r="D141" s="5">
        <v>52424</v>
      </c>
      <c r="E141" s="3">
        <v>16.048780487804876</v>
      </c>
      <c r="F141" s="50">
        <f t="shared" si="4"/>
        <v>14.288</v>
      </c>
      <c r="G141" s="78">
        <f t="shared" si="5"/>
        <v>1.7607804878048761</v>
      </c>
    </row>
    <row r="142" spans="2:7" x14ac:dyDescent="0.25">
      <c r="C142">
        <v>6</v>
      </c>
      <c r="D142" s="5">
        <v>42508</v>
      </c>
      <c r="E142" s="3">
        <v>14.808219178082192</v>
      </c>
      <c r="F142" s="50">
        <f t="shared" si="4"/>
        <v>19.245999999999999</v>
      </c>
      <c r="G142" s="78">
        <f t="shared" si="5"/>
        <v>-4.4377808219178068</v>
      </c>
    </row>
    <row r="143" spans="2:7" x14ac:dyDescent="0.25">
      <c r="C143">
        <v>7</v>
      </c>
      <c r="D143" s="5">
        <v>50831</v>
      </c>
      <c r="E143" s="3">
        <v>18.939110070257613</v>
      </c>
      <c r="F143" s="50">
        <f t="shared" si="4"/>
        <v>15.084499999999998</v>
      </c>
      <c r="G143" s="78">
        <f t="shared" si="5"/>
        <v>3.854610070257614</v>
      </c>
    </row>
    <row r="144" spans="2:7" x14ac:dyDescent="0.25">
      <c r="C144">
        <v>8</v>
      </c>
      <c r="D144" s="5">
        <v>48376</v>
      </c>
      <c r="E144" s="3">
        <v>16.607279693486589</v>
      </c>
      <c r="F144" s="50">
        <f t="shared" si="4"/>
        <v>16.312000000000001</v>
      </c>
      <c r="G144" s="78">
        <f t="shared" si="5"/>
        <v>0.295279693486588</v>
      </c>
    </row>
    <row r="145" spans="2:7" x14ac:dyDescent="0.25">
      <c r="C145">
        <v>9</v>
      </c>
      <c r="D145" s="5">
        <v>49992</v>
      </c>
      <c r="E145" s="3">
        <v>14.943127962085308</v>
      </c>
      <c r="F145" s="50">
        <f t="shared" si="4"/>
        <v>15.503999999999998</v>
      </c>
      <c r="G145" s="78">
        <f t="shared" si="5"/>
        <v>-0.56087203791468987</v>
      </c>
    </row>
    <row r="146" spans="2:7" ht="15.75" thickBot="1" x14ac:dyDescent="0.3">
      <c r="C146">
        <v>10</v>
      </c>
      <c r="D146" s="5">
        <v>45368</v>
      </c>
      <c r="E146" s="3">
        <v>15.847619047619048</v>
      </c>
      <c r="F146" s="50">
        <f t="shared" si="4"/>
        <v>17.815999999999999</v>
      </c>
      <c r="G146" s="79">
        <f t="shared" si="5"/>
        <v>-1.9683809523809508</v>
      </c>
    </row>
    <row r="148" spans="2:7" x14ac:dyDescent="0.25">
      <c r="B148" t="s">
        <v>746</v>
      </c>
    </row>
    <row r="149" spans="2:7" x14ac:dyDescent="0.25">
      <c r="B149" t="s">
        <v>747</v>
      </c>
    </row>
    <row r="150" spans="2:7" x14ac:dyDescent="0.25">
      <c r="B150" s="10"/>
    </row>
    <row r="151" spans="2:7" x14ac:dyDescent="0.25">
      <c r="B151" t="s">
        <v>748</v>
      </c>
    </row>
    <row r="152" spans="2:7" x14ac:dyDescent="0.25">
      <c r="B152" s="10"/>
    </row>
    <row r="153" spans="2:7" x14ac:dyDescent="0.25">
      <c r="B153" t="s">
        <v>749</v>
      </c>
    </row>
    <row r="154" spans="2:7" x14ac:dyDescent="0.25">
      <c r="B154" t="s">
        <v>751</v>
      </c>
    </row>
    <row r="155" spans="2:7" x14ac:dyDescent="0.25">
      <c r="B155" t="s">
        <v>752</v>
      </c>
    </row>
    <row r="156" spans="2:7" x14ac:dyDescent="0.25">
      <c r="B156" t="s">
        <v>753</v>
      </c>
    </row>
    <row r="157" spans="2:7" x14ac:dyDescent="0.25">
      <c r="B157" t="s">
        <v>754</v>
      </c>
    </row>
    <row r="160" spans="2:7" ht="15.75" thickBot="1" x14ac:dyDescent="0.3">
      <c r="B160" s="71" t="s">
        <v>755</v>
      </c>
    </row>
    <row r="162" spans="2:18" x14ac:dyDescent="0.25">
      <c r="B162" t="s">
        <v>756</v>
      </c>
    </row>
    <row r="163" spans="2:18" x14ac:dyDescent="0.25">
      <c r="B163" t="s">
        <v>757</v>
      </c>
    </row>
    <row r="164" spans="2:18" x14ac:dyDescent="0.25">
      <c r="B164" t="s">
        <v>758</v>
      </c>
    </row>
    <row r="165" spans="2:18" x14ac:dyDescent="0.25">
      <c r="B165" t="s">
        <v>759</v>
      </c>
    </row>
    <row r="168" spans="2:18" x14ac:dyDescent="0.25">
      <c r="B168" t="s">
        <v>760</v>
      </c>
    </row>
    <row r="169" spans="2:18" x14ac:dyDescent="0.25">
      <c r="B169" t="s">
        <v>761</v>
      </c>
    </row>
    <row r="170" spans="2:18" x14ac:dyDescent="0.25">
      <c r="B170" t="s">
        <v>764</v>
      </c>
    </row>
    <row r="172" spans="2:18" x14ac:dyDescent="0.25">
      <c r="D172" t="s">
        <v>89</v>
      </c>
      <c r="E172" s="80">
        <f>E12</f>
        <v>8</v>
      </c>
    </row>
    <row r="173" spans="2:18" x14ac:dyDescent="0.25">
      <c r="D173" t="s">
        <v>706</v>
      </c>
      <c r="E173">
        <f>E13</f>
        <v>1E-4</v>
      </c>
    </row>
    <row r="174" spans="2:18" x14ac:dyDescent="0.25">
      <c r="P174" t="s">
        <v>763</v>
      </c>
    </row>
    <row r="175" spans="2:18" ht="64.5" x14ac:dyDescent="0.25">
      <c r="B175" t="s">
        <v>46</v>
      </c>
      <c r="C175" s="68" t="s">
        <v>670</v>
      </c>
      <c r="D175" s="2" t="s">
        <v>671</v>
      </c>
      <c r="E175" s="2" t="s">
        <v>722</v>
      </c>
      <c r="F175" t="s">
        <v>83</v>
      </c>
      <c r="P175" t="s">
        <v>762</v>
      </c>
      <c r="Q175" t="s">
        <v>55</v>
      </c>
      <c r="R175" t="s">
        <v>390</v>
      </c>
    </row>
    <row r="176" spans="2:18" x14ac:dyDescent="0.25">
      <c r="B176">
        <v>1</v>
      </c>
      <c r="C176" s="5">
        <v>60697</v>
      </c>
      <c r="D176" s="3">
        <v>16.644444444444446</v>
      </c>
      <c r="E176" s="69">
        <f>$E$172+$E$173*C176</f>
        <v>14.069700000000001</v>
      </c>
      <c r="F176" s="10" t="s">
        <v>542</v>
      </c>
      <c r="P176">
        <v>1</v>
      </c>
      <c r="Q176">
        <f>VLOOKUP(P176,$B$176:$E$185,2,FALSE)</f>
        <v>60697</v>
      </c>
      <c r="R176">
        <f>VLOOKUP(P176,$B$176:$E$185,3,FALSE)</f>
        <v>16.644444444444446</v>
      </c>
    </row>
    <row r="177" spans="2:18" x14ac:dyDescent="0.25">
      <c r="B177">
        <v>2</v>
      </c>
      <c r="C177" s="5">
        <v>50156</v>
      </c>
      <c r="D177" s="3">
        <v>15.991228070175438</v>
      </c>
      <c r="E177" s="69">
        <f t="shared" ref="E177:E185" si="6">$E$172+$E$173*C177</f>
        <v>13.015599999999999</v>
      </c>
      <c r="F177" s="81"/>
      <c r="P177">
        <v>1</v>
      </c>
      <c r="Q177">
        <f>VLOOKUP(P177,$B$176:$E$185,2,FALSE)</f>
        <v>60697</v>
      </c>
      <c r="R177">
        <f>VLOOKUP(P177,$B$176:$E$185,4,FALSE)</f>
        <v>14.069700000000001</v>
      </c>
    </row>
    <row r="178" spans="2:18" x14ac:dyDescent="0.25">
      <c r="B178">
        <v>3</v>
      </c>
      <c r="C178" s="5">
        <v>45448</v>
      </c>
      <c r="D178" s="3">
        <v>16.55952380952381</v>
      </c>
      <c r="E178" s="69">
        <f t="shared" si="6"/>
        <v>12.5448</v>
      </c>
      <c r="F178" s="81"/>
    </row>
    <row r="179" spans="2:18" x14ac:dyDescent="0.25">
      <c r="B179">
        <v>4</v>
      </c>
      <c r="C179" s="5">
        <v>46504</v>
      </c>
      <c r="D179" s="3">
        <v>13.487603305785123</v>
      </c>
      <c r="E179" s="69">
        <f t="shared" si="6"/>
        <v>12.650400000000001</v>
      </c>
      <c r="F179" s="81"/>
      <c r="P179">
        <f>P176+1</f>
        <v>2</v>
      </c>
      <c r="Q179">
        <f>VLOOKUP(P179,$B$176:$E$185,2,FALSE)</f>
        <v>50156</v>
      </c>
      <c r="R179">
        <f>VLOOKUP(P179,$B$176:$E$185,3,FALSE)</f>
        <v>15.991228070175438</v>
      </c>
    </row>
    <row r="180" spans="2:18" x14ac:dyDescent="0.25">
      <c r="B180">
        <v>5</v>
      </c>
      <c r="C180" s="5">
        <v>52424</v>
      </c>
      <c r="D180" s="3">
        <v>16.048780487804876</v>
      </c>
      <c r="E180" s="69">
        <f t="shared" si="6"/>
        <v>13.2424</v>
      </c>
      <c r="F180" s="81"/>
      <c r="P180">
        <v>2</v>
      </c>
      <c r="Q180">
        <f>VLOOKUP(P180,$B$176:$E$185,2,FALSE)</f>
        <v>50156</v>
      </c>
      <c r="R180">
        <f>VLOOKUP(P180,$B$176:$E$185,4,FALSE)</f>
        <v>13.015599999999999</v>
      </c>
    </row>
    <row r="181" spans="2:18" x14ac:dyDescent="0.25">
      <c r="B181">
        <v>6</v>
      </c>
      <c r="C181" s="5">
        <v>42508</v>
      </c>
      <c r="D181" s="3">
        <v>14.808219178082192</v>
      </c>
      <c r="E181" s="69">
        <f t="shared" si="6"/>
        <v>12.2508</v>
      </c>
      <c r="F181" s="81"/>
    </row>
    <row r="182" spans="2:18" x14ac:dyDescent="0.25">
      <c r="B182">
        <v>7</v>
      </c>
      <c r="C182" s="5">
        <v>50831</v>
      </c>
      <c r="D182" s="3">
        <v>18.939110070257613</v>
      </c>
      <c r="E182" s="69">
        <f t="shared" si="6"/>
        <v>13.0831</v>
      </c>
      <c r="F182" s="81"/>
      <c r="P182">
        <f t="shared" ref="P182" si="7">P179+1</f>
        <v>3</v>
      </c>
      <c r="Q182">
        <f t="shared" ref="Q182:Q183" si="8">VLOOKUP(P182,$B$176:$E$185,2,FALSE)</f>
        <v>45448</v>
      </c>
      <c r="R182">
        <f t="shared" ref="R182" si="9">VLOOKUP(P182,$B$176:$E$185,3,FALSE)</f>
        <v>16.55952380952381</v>
      </c>
    </row>
    <row r="183" spans="2:18" x14ac:dyDescent="0.25">
      <c r="B183">
        <v>8</v>
      </c>
      <c r="C183" s="5">
        <v>48376</v>
      </c>
      <c r="D183" s="3">
        <v>16.607279693486589</v>
      </c>
      <c r="E183" s="69">
        <f t="shared" si="6"/>
        <v>12.8376</v>
      </c>
      <c r="F183" s="81"/>
      <c r="P183">
        <v>3</v>
      </c>
      <c r="Q183">
        <f t="shared" si="8"/>
        <v>45448</v>
      </c>
      <c r="R183">
        <f t="shared" ref="R183" si="10">VLOOKUP(P183,$B$176:$E$185,4,FALSE)</f>
        <v>12.5448</v>
      </c>
    </row>
    <row r="184" spans="2:18" x14ac:dyDescent="0.25">
      <c r="B184">
        <v>9</v>
      </c>
      <c r="C184" s="5">
        <v>49992</v>
      </c>
      <c r="D184" s="3">
        <v>14.943127962085308</v>
      </c>
      <c r="E184" s="69">
        <f t="shared" si="6"/>
        <v>12.9992</v>
      </c>
      <c r="F184" s="81"/>
    </row>
    <row r="185" spans="2:18" x14ac:dyDescent="0.25">
      <c r="B185">
        <v>10</v>
      </c>
      <c r="C185" s="5">
        <v>45368</v>
      </c>
      <c r="D185" s="3">
        <v>15.847619047619048</v>
      </c>
      <c r="E185" s="69">
        <f t="shared" si="6"/>
        <v>12.536799999999999</v>
      </c>
      <c r="F185" s="81"/>
      <c r="P185">
        <f t="shared" ref="P185" si="11">P182+1</f>
        <v>4</v>
      </c>
      <c r="Q185">
        <f t="shared" ref="Q185:Q186" si="12">VLOOKUP(P185,$B$176:$E$185,2,FALSE)</f>
        <v>46504</v>
      </c>
      <c r="R185">
        <f t="shared" ref="R185" si="13">VLOOKUP(P185,$B$176:$E$185,3,FALSE)</f>
        <v>13.487603305785123</v>
      </c>
    </row>
    <row r="186" spans="2:18" x14ac:dyDescent="0.25">
      <c r="P186">
        <v>4</v>
      </c>
      <c r="Q186">
        <f t="shared" si="12"/>
        <v>46504</v>
      </c>
      <c r="R186">
        <f t="shared" ref="R186" si="14">VLOOKUP(P186,$B$176:$E$185,4,FALSE)</f>
        <v>12.650400000000001</v>
      </c>
    </row>
    <row r="187" spans="2:18" x14ac:dyDescent="0.25">
      <c r="B187" t="s">
        <v>770</v>
      </c>
    </row>
    <row r="188" spans="2:18" x14ac:dyDescent="0.25">
      <c r="B188" t="s">
        <v>773</v>
      </c>
      <c r="P188">
        <f t="shared" ref="P188" si="15">P185+1</f>
        <v>5</v>
      </c>
      <c r="Q188">
        <f t="shared" ref="Q188:Q189" si="16">VLOOKUP(P188,$B$176:$E$185,2,FALSE)</f>
        <v>52424</v>
      </c>
      <c r="R188">
        <f t="shared" ref="R188" si="17">VLOOKUP(P188,$B$176:$E$185,3,FALSE)</f>
        <v>16.048780487804876</v>
      </c>
    </row>
    <row r="189" spans="2:18" x14ac:dyDescent="0.25">
      <c r="P189">
        <v>5</v>
      </c>
      <c r="Q189">
        <f t="shared" si="16"/>
        <v>52424</v>
      </c>
      <c r="R189">
        <f t="shared" ref="R189" si="18">VLOOKUP(P189,$B$176:$E$185,4,FALSE)</f>
        <v>13.2424</v>
      </c>
    </row>
    <row r="191" spans="2:18" x14ac:dyDescent="0.25">
      <c r="P191">
        <f t="shared" ref="P191" si="19">P188+1</f>
        <v>6</v>
      </c>
      <c r="Q191">
        <f t="shared" ref="Q191:Q192" si="20">VLOOKUP(P191,$B$176:$E$185,2,FALSE)</f>
        <v>42508</v>
      </c>
      <c r="R191">
        <f t="shared" ref="R191" si="21">VLOOKUP(P191,$B$176:$E$185,3,FALSE)</f>
        <v>14.808219178082192</v>
      </c>
    </row>
    <row r="192" spans="2:18" x14ac:dyDescent="0.25">
      <c r="P192">
        <v>6</v>
      </c>
      <c r="Q192">
        <f t="shared" si="20"/>
        <v>42508</v>
      </c>
      <c r="R192">
        <f t="shared" ref="R192" si="22">VLOOKUP(P192,$B$176:$E$185,4,FALSE)</f>
        <v>12.2508</v>
      </c>
    </row>
    <row r="194" spans="16:18" x14ac:dyDescent="0.25">
      <c r="P194">
        <f t="shared" ref="P194" si="23">P191+1</f>
        <v>7</v>
      </c>
      <c r="Q194">
        <f t="shared" ref="Q194:Q195" si="24">VLOOKUP(P194,$B$176:$E$185,2,FALSE)</f>
        <v>50831</v>
      </c>
      <c r="R194">
        <f t="shared" ref="R194" si="25">VLOOKUP(P194,$B$176:$E$185,3,FALSE)</f>
        <v>18.939110070257613</v>
      </c>
    </row>
    <row r="195" spans="16:18" x14ac:dyDescent="0.25">
      <c r="P195">
        <v>7</v>
      </c>
      <c r="Q195">
        <f t="shared" si="24"/>
        <v>50831</v>
      </c>
      <c r="R195">
        <f t="shared" ref="R195" si="26">VLOOKUP(P195,$B$176:$E$185,4,FALSE)</f>
        <v>13.0831</v>
      </c>
    </row>
    <row r="197" spans="16:18" x14ac:dyDescent="0.25">
      <c r="P197">
        <f t="shared" ref="P197" si="27">P194+1</f>
        <v>8</v>
      </c>
      <c r="Q197">
        <f t="shared" ref="Q197:Q198" si="28">VLOOKUP(P197,$B$176:$E$185,2,FALSE)</f>
        <v>48376</v>
      </c>
      <c r="R197">
        <f t="shared" ref="R197" si="29">VLOOKUP(P197,$B$176:$E$185,3,FALSE)</f>
        <v>16.607279693486589</v>
      </c>
    </row>
    <row r="198" spans="16:18" x14ac:dyDescent="0.25">
      <c r="P198">
        <v>8</v>
      </c>
      <c r="Q198">
        <f t="shared" si="28"/>
        <v>48376</v>
      </c>
      <c r="R198">
        <f t="shared" ref="R198" si="30">VLOOKUP(P198,$B$176:$E$185,4,FALSE)</f>
        <v>12.8376</v>
      </c>
    </row>
    <row r="200" spans="16:18" x14ac:dyDescent="0.25">
      <c r="P200">
        <f t="shared" ref="P200" si="31">P197+1</f>
        <v>9</v>
      </c>
      <c r="Q200">
        <f t="shared" ref="Q200:Q201" si="32">VLOOKUP(P200,$B$176:$E$185,2,FALSE)</f>
        <v>49992</v>
      </c>
      <c r="R200">
        <f t="shared" ref="R200" si="33">VLOOKUP(P200,$B$176:$E$185,3,FALSE)</f>
        <v>14.943127962085308</v>
      </c>
    </row>
    <row r="201" spans="16:18" x14ac:dyDescent="0.25">
      <c r="P201">
        <v>9</v>
      </c>
      <c r="Q201">
        <f t="shared" si="32"/>
        <v>49992</v>
      </c>
      <c r="R201">
        <f t="shared" ref="R201" si="34">VLOOKUP(P201,$B$176:$E$185,4,FALSE)</f>
        <v>12.9992</v>
      </c>
    </row>
    <row r="203" spans="16:18" x14ac:dyDescent="0.25">
      <c r="P203">
        <f t="shared" ref="P203" si="35">P200+1</f>
        <v>10</v>
      </c>
      <c r="Q203">
        <f t="shared" ref="Q203:Q204" si="36">VLOOKUP(P203,$B$176:$E$185,2,FALSE)</f>
        <v>45368</v>
      </c>
      <c r="R203">
        <f t="shared" ref="R203" si="37">VLOOKUP(P203,$B$176:$E$185,3,FALSE)</f>
        <v>15.847619047619048</v>
      </c>
    </row>
    <row r="204" spans="16:18" x14ac:dyDescent="0.25">
      <c r="P204">
        <v>10</v>
      </c>
      <c r="Q204">
        <f t="shared" si="36"/>
        <v>45368</v>
      </c>
      <c r="R204">
        <f t="shared" ref="R204" si="38">VLOOKUP(P204,$B$176:$E$185,4,FALSE)</f>
        <v>12.536799999999999</v>
      </c>
    </row>
    <row r="211" spans="2:7" x14ac:dyDescent="0.25">
      <c r="B211" t="s">
        <v>771</v>
      </c>
      <c r="F211" s="10"/>
      <c r="G211" t="s">
        <v>772</v>
      </c>
    </row>
    <row r="213" spans="2:7" x14ac:dyDescent="0.25">
      <c r="B213" t="s">
        <v>766</v>
      </c>
    </row>
    <row r="214" spans="2:7" x14ac:dyDescent="0.25">
      <c r="B214" t="s">
        <v>765</v>
      </c>
    </row>
    <row r="215" spans="2:7" x14ac:dyDescent="0.25">
      <c r="B215" s="10"/>
    </row>
    <row r="216" spans="2:7" x14ac:dyDescent="0.25">
      <c r="B216" t="s">
        <v>767</v>
      </c>
    </row>
    <row r="217" spans="2:7" x14ac:dyDescent="0.25">
      <c r="B217" s="10"/>
    </row>
    <row r="218" spans="2:7" x14ac:dyDescent="0.25">
      <c r="B218" t="s">
        <v>768</v>
      </c>
    </row>
    <row r="219" spans="2:7" x14ac:dyDescent="0.25">
      <c r="B219" s="10"/>
    </row>
    <row r="220" spans="2:7" x14ac:dyDescent="0.25">
      <c r="B220" t="s">
        <v>769</v>
      </c>
    </row>
    <row r="221" spans="2:7" x14ac:dyDescent="0.25">
      <c r="B221" s="10"/>
    </row>
    <row r="222" spans="2:7" x14ac:dyDescent="0.25">
      <c r="B222" t="s">
        <v>775</v>
      </c>
    </row>
    <row r="223" spans="2:7" x14ac:dyDescent="0.25">
      <c r="B223" s="10"/>
    </row>
    <row r="224" spans="2:7" x14ac:dyDescent="0.25">
      <c r="B224" t="s">
        <v>778</v>
      </c>
    </row>
    <row r="226" spans="2:6" x14ac:dyDescent="0.25">
      <c r="D226" t="s">
        <v>89</v>
      </c>
      <c r="E226" s="73">
        <f>AVERAGE(D230:D239)</f>
        <v>15.987693606926445</v>
      </c>
    </row>
    <row r="227" spans="2:6" x14ac:dyDescent="0.25">
      <c r="D227" t="s">
        <v>706</v>
      </c>
      <c r="E227">
        <v>0</v>
      </c>
    </row>
    <row r="229" spans="2:6" ht="77.25" x14ac:dyDescent="0.25">
      <c r="B229" t="s">
        <v>46</v>
      </c>
      <c r="C229" s="68" t="s">
        <v>670</v>
      </c>
      <c r="D229" s="2" t="s">
        <v>671</v>
      </c>
      <c r="E229" s="2" t="s">
        <v>776</v>
      </c>
      <c r="F229" t="s">
        <v>83</v>
      </c>
    </row>
    <row r="230" spans="2:6" x14ac:dyDescent="0.25">
      <c r="B230">
        <v>1</v>
      </c>
      <c r="C230" s="5">
        <v>60697</v>
      </c>
      <c r="D230" s="3">
        <v>16.644444444444446</v>
      </c>
      <c r="E230" s="82">
        <f>$E$226+$E$227*C230</f>
        <v>15.987693606926445</v>
      </c>
      <c r="F230">
        <f>D230-E230</f>
        <v>0.65675083751800045</v>
      </c>
    </row>
    <row r="231" spans="2:6" x14ac:dyDescent="0.25">
      <c r="B231">
        <v>2</v>
      </c>
      <c r="C231" s="5">
        <v>50156</v>
      </c>
      <c r="D231" s="3">
        <v>15.991228070175438</v>
      </c>
      <c r="E231" s="82">
        <f t="shared" ref="E231:E239" si="39">$E$226+$E$227*C231</f>
        <v>15.987693606926445</v>
      </c>
      <c r="F231">
        <f t="shared" ref="F231:F239" si="40">D231-E231</f>
        <v>3.5344632489930916E-3</v>
      </c>
    </row>
    <row r="232" spans="2:6" x14ac:dyDescent="0.25">
      <c r="B232">
        <v>3</v>
      </c>
      <c r="C232" s="5">
        <v>45448</v>
      </c>
      <c r="D232" s="3">
        <v>16.55952380952381</v>
      </c>
      <c r="E232" s="82">
        <f t="shared" si="39"/>
        <v>15.987693606926445</v>
      </c>
      <c r="F232">
        <f t="shared" si="40"/>
        <v>0.57183020259736494</v>
      </c>
    </row>
    <row r="233" spans="2:6" x14ac:dyDescent="0.25">
      <c r="B233">
        <v>4</v>
      </c>
      <c r="C233" s="5">
        <v>46504</v>
      </c>
      <c r="D233" s="3">
        <v>13.487603305785123</v>
      </c>
      <c r="E233" s="82">
        <f t="shared" si="39"/>
        <v>15.987693606926445</v>
      </c>
      <c r="F233">
        <f t="shared" si="40"/>
        <v>-2.5000903011413218</v>
      </c>
    </row>
    <row r="234" spans="2:6" x14ac:dyDescent="0.25">
      <c r="B234">
        <v>5</v>
      </c>
      <c r="C234" s="5">
        <v>52424</v>
      </c>
      <c r="D234" s="3">
        <v>16.048780487804876</v>
      </c>
      <c r="E234" s="82">
        <f t="shared" si="39"/>
        <v>15.987693606926445</v>
      </c>
      <c r="F234">
        <f t="shared" si="40"/>
        <v>6.108688087843106E-2</v>
      </c>
    </row>
    <row r="235" spans="2:6" x14ac:dyDescent="0.25">
      <c r="B235">
        <v>6</v>
      </c>
      <c r="C235" s="5">
        <v>42508</v>
      </c>
      <c r="D235" s="3">
        <v>14.808219178082192</v>
      </c>
      <c r="E235" s="82">
        <f t="shared" si="39"/>
        <v>15.987693606926445</v>
      </c>
      <c r="F235">
        <f t="shared" si="40"/>
        <v>-1.1794744288442534</v>
      </c>
    </row>
    <row r="236" spans="2:6" x14ac:dyDescent="0.25">
      <c r="B236">
        <v>7</v>
      </c>
      <c r="C236" s="5">
        <v>50831</v>
      </c>
      <c r="D236" s="3">
        <v>18.939110070257613</v>
      </c>
      <c r="E236" s="82">
        <f t="shared" si="39"/>
        <v>15.987693606926445</v>
      </c>
      <c r="F236">
        <f t="shared" si="40"/>
        <v>2.9514164633311673</v>
      </c>
    </row>
    <row r="237" spans="2:6" x14ac:dyDescent="0.25">
      <c r="B237">
        <v>8</v>
      </c>
      <c r="C237" s="5">
        <v>48376</v>
      </c>
      <c r="D237" s="3">
        <v>16.607279693486589</v>
      </c>
      <c r="E237" s="82">
        <f t="shared" si="39"/>
        <v>15.987693606926445</v>
      </c>
      <c r="F237">
        <f t="shared" si="40"/>
        <v>0.61958608656014391</v>
      </c>
    </row>
    <row r="238" spans="2:6" x14ac:dyDescent="0.25">
      <c r="B238">
        <v>9</v>
      </c>
      <c r="C238" s="5">
        <v>49992</v>
      </c>
      <c r="D238" s="3">
        <v>14.943127962085308</v>
      </c>
      <c r="E238" s="82">
        <f t="shared" si="39"/>
        <v>15.987693606926445</v>
      </c>
      <c r="F238">
        <f t="shared" si="40"/>
        <v>-1.0445656448411373</v>
      </c>
    </row>
    <row r="239" spans="2:6" x14ac:dyDescent="0.25">
      <c r="B239">
        <v>10</v>
      </c>
      <c r="C239" s="5">
        <v>45368</v>
      </c>
      <c r="D239" s="3">
        <v>15.847619047619048</v>
      </c>
      <c r="E239" s="82">
        <f t="shared" si="39"/>
        <v>15.987693606926445</v>
      </c>
      <c r="F239">
        <f t="shared" si="40"/>
        <v>-0.1400745593073971</v>
      </c>
    </row>
    <row r="240" spans="2:6" x14ac:dyDescent="0.25">
      <c r="F240" t="s">
        <v>777</v>
      </c>
    </row>
    <row r="241" spans="2:6" x14ac:dyDescent="0.25">
      <c r="F241" s="83">
        <f>SUM(F230:F239)</f>
        <v>-8.8817841970012523E-15</v>
      </c>
    </row>
    <row r="242" spans="2:6" x14ac:dyDescent="0.25">
      <c r="B242" t="s">
        <v>779</v>
      </c>
    </row>
    <row r="243" spans="2:6" x14ac:dyDescent="0.25">
      <c r="B243" t="s">
        <v>780</v>
      </c>
    </row>
    <row r="244" spans="2:6" x14ac:dyDescent="0.25">
      <c r="B244" s="10"/>
    </row>
    <row r="245" spans="2:6" x14ac:dyDescent="0.25">
      <c r="B245" t="s">
        <v>781</v>
      </c>
    </row>
    <row r="246" spans="2:6" x14ac:dyDescent="0.25">
      <c r="B246" s="10"/>
    </row>
    <row r="248" spans="2:6" ht="15.75" thickBot="1" x14ac:dyDescent="0.3">
      <c r="B248" s="71" t="s">
        <v>774</v>
      </c>
    </row>
    <row r="250" spans="2:6" x14ac:dyDescent="0.25">
      <c r="B250" t="s">
        <v>782</v>
      </c>
    </row>
    <row r="251" spans="2:6" x14ac:dyDescent="0.25">
      <c r="B251" t="s">
        <v>783</v>
      </c>
    </row>
    <row r="252" spans="2:6" x14ac:dyDescent="0.25">
      <c r="B252" t="s">
        <v>785</v>
      </c>
    </row>
    <row r="253" spans="2:6" x14ac:dyDescent="0.25">
      <c r="B253" t="s">
        <v>784</v>
      </c>
    </row>
    <row r="254" spans="2:6" x14ac:dyDescent="0.25">
      <c r="B254" t="s">
        <v>794</v>
      </c>
    </row>
    <row r="255" spans="2:6" x14ac:dyDescent="0.25">
      <c r="B255" t="s">
        <v>786</v>
      </c>
    </row>
    <row r="256" spans="2:6" x14ac:dyDescent="0.25">
      <c r="B256" t="s">
        <v>787</v>
      </c>
    </row>
    <row r="257" spans="2:2" x14ac:dyDescent="0.25">
      <c r="B257" t="s">
        <v>788</v>
      </c>
    </row>
    <row r="259" spans="2:2" ht="15.75" thickBot="1" x14ac:dyDescent="0.3">
      <c r="B259" s="71" t="s">
        <v>789</v>
      </c>
    </row>
    <row r="261" spans="2:2" x14ac:dyDescent="0.25">
      <c r="B261" t="s">
        <v>793</v>
      </c>
    </row>
    <row r="262" spans="2:2" x14ac:dyDescent="0.25">
      <c r="B262" t="s">
        <v>790</v>
      </c>
    </row>
    <row r="263" spans="2:2" x14ac:dyDescent="0.25">
      <c r="B263" t="s">
        <v>791</v>
      </c>
    </row>
    <row r="264" spans="2:2" x14ac:dyDescent="0.25">
      <c r="B264" t="s">
        <v>792</v>
      </c>
    </row>
    <row r="265" spans="2:2" x14ac:dyDescent="0.25">
      <c r="B265" t="s">
        <v>795</v>
      </c>
    </row>
    <row r="267" spans="2:2" ht="15.75" thickBot="1" x14ac:dyDescent="0.3">
      <c r="B267" s="71" t="s">
        <v>796</v>
      </c>
    </row>
    <row r="269" spans="2:2" x14ac:dyDescent="0.25">
      <c r="B269" t="s">
        <v>798</v>
      </c>
    </row>
    <row r="270" spans="2:2" x14ac:dyDescent="0.25">
      <c r="B270" t="s">
        <v>799</v>
      </c>
    </row>
    <row r="272" spans="2:2" ht="15.75" thickBot="1" x14ac:dyDescent="0.3">
      <c r="B272" s="71" t="s">
        <v>800</v>
      </c>
    </row>
    <row r="274" spans="2:2" x14ac:dyDescent="0.25">
      <c r="B274" t="s">
        <v>801</v>
      </c>
    </row>
    <row r="275" spans="2:2" x14ac:dyDescent="0.25">
      <c r="B275" t="s">
        <v>802</v>
      </c>
    </row>
    <row r="276" spans="2:2" x14ac:dyDescent="0.25">
      <c r="B276" t="s">
        <v>803</v>
      </c>
    </row>
    <row r="278" spans="2:2" x14ac:dyDescent="0.25">
      <c r="B278" t="s">
        <v>804</v>
      </c>
    </row>
    <row r="279" spans="2:2" x14ac:dyDescent="0.25">
      <c r="B279" t="s">
        <v>808</v>
      </c>
    </row>
    <row r="280" spans="2:2" x14ac:dyDescent="0.25">
      <c r="B280" t="s">
        <v>805</v>
      </c>
    </row>
    <row r="281" spans="2:2" x14ac:dyDescent="0.25">
      <c r="B281" t="s">
        <v>806</v>
      </c>
    </row>
    <row r="282" spans="2:2" x14ac:dyDescent="0.25">
      <c r="B282" t="s">
        <v>809</v>
      </c>
    </row>
    <row r="284" spans="2:2" x14ac:dyDescent="0.25">
      <c r="B284" t="s">
        <v>807</v>
      </c>
    </row>
    <row r="286" spans="2:2" ht="15.75" thickBot="1" x14ac:dyDescent="0.3">
      <c r="B286" s="71" t="s">
        <v>812</v>
      </c>
    </row>
    <row r="288" spans="2:2" x14ac:dyDescent="0.25">
      <c r="B288" t="s">
        <v>813</v>
      </c>
    </row>
  </sheetData>
  <conditionalFormatting sqref="G137:G146">
    <cfRule type="cellIs" dxfId="0" priority="1" operator="lessThan">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D1" sqref="D1"/>
    </sheetView>
  </sheetViews>
  <sheetFormatPr defaultRowHeight="15" x14ac:dyDescent="0.25"/>
  <cols>
    <col min="2" max="2" width="13" customWidth="1"/>
    <col min="3" max="3" width="16.85546875" bestFit="1" customWidth="1"/>
    <col min="4" max="4" width="15" bestFit="1" customWidth="1"/>
  </cols>
  <sheetData>
    <row r="1" spans="1:2" ht="18" thickBot="1" x14ac:dyDescent="0.35">
      <c r="A1" s="54" t="s">
        <v>814</v>
      </c>
    </row>
    <row r="2" spans="1:2" ht="15.75" thickTop="1" x14ac:dyDescent="0.25"/>
    <row r="3" spans="1:2" x14ac:dyDescent="0.25">
      <c r="B3" t="s">
        <v>815</v>
      </c>
    </row>
    <row r="4" spans="1:2" x14ac:dyDescent="0.25">
      <c r="B4" t="s">
        <v>816</v>
      </c>
    </row>
    <row r="5" spans="1:2" x14ac:dyDescent="0.25">
      <c r="B5" t="s">
        <v>825</v>
      </c>
    </row>
    <row r="6" spans="1:2" x14ac:dyDescent="0.25">
      <c r="B6" t="s">
        <v>817</v>
      </c>
    </row>
    <row r="8" spans="1:2" x14ac:dyDescent="0.25">
      <c r="B8" t="s">
        <v>856</v>
      </c>
    </row>
    <row r="9" spans="1:2" x14ac:dyDescent="0.25">
      <c r="B9" t="s">
        <v>818</v>
      </c>
    </row>
    <row r="10" spans="1:2" x14ac:dyDescent="0.25">
      <c r="B10" t="s">
        <v>820</v>
      </c>
    </row>
    <row r="11" spans="1:2" x14ac:dyDescent="0.25">
      <c r="B11" t="s">
        <v>819</v>
      </c>
    </row>
    <row r="12" spans="1:2" x14ac:dyDescent="0.25">
      <c r="B12" t="s">
        <v>821</v>
      </c>
    </row>
    <row r="13" spans="1:2" x14ac:dyDescent="0.25">
      <c r="B13" t="s">
        <v>822</v>
      </c>
    </row>
    <row r="14" spans="1:2" x14ac:dyDescent="0.25">
      <c r="B14" t="s">
        <v>823</v>
      </c>
    </row>
    <row r="15" spans="1:2" x14ac:dyDescent="0.25">
      <c r="B15" t="s">
        <v>852</v>
      </c>
    </row>
    <row r="16" spans="1:2" x14ac:dyDescent="0.25">
      <c r="B16" t="s">
        <v>824</v>
      </c>
    </row>
    <row r="18" spans="1:6" x14ac:dyDescent="0.25">
      <c r="B18" t="s">
        <v>826</v>
      </c>
    </row>
    <row r="19" spans="1:6" x14ac:dyDescent="0.25">
      <c r="B19" t="s">
        <v>827</v>
      </c>
    </row>
    <row r="21" spans="1:6" x14ac:dyDescent="0.25">
      <c r="B21" t="s">
        <v>829</v>
      </c>
    </row>
    <row r="22" spans="1:6" x14ac:dyDescent="0.25">
      <c r="B22" t="s">
        <v>828</v>
      </c>
    </row>
    <row r="23" spans="1:6" x14ac:dyDescent="0.25">
      <c r="B23" t="s">
        <v>830</v>
      </c>
    </row>
    <row r="24" spans="1:6" x14ac:dyDescent="0.25">
      <c r="B24" t="s">
        <v>855</v>
      </c>
    </row>
    <row r="27" spans="1:6" x14ac:dyDescent="0.25">
      <c r="A27" t="s">
        <v>837</v>
      </c>
      <c r="B27" t="s">
        <v>831</v>
      </c>
      <c r="C27" t="s">
        <v>78</v>
      </c>
      <c r="D27" t="s">
        <v>74</v>
      </c>
      <c r="E27" t="s">
        <v>75</v>
      </c>
      <c r="F27" t="s">
        <v>854</v>
      </c>
    </row>
    <row r="28" spans="1:6" x14ac:dyDescent="0.25">
      <c r="A28">
        <v>1</v>
      </c>
      <c r="B28" s="10" t="s">
        <v>832</v>
      </c>
      <c r="C28" s="10" t="s">
        <v>62</v>
      </c>
      <c r="D28" s="10">
        <v>576</v>
      </c>
      <c r="E28" s="93">
        <v>178</v>
      </c>
      <c r="F28" s="10" t="s">
        <v>853</v>
      </c>
    </row>
    <row r="29" spans="1:6" x14ac:dyDescent="0.25">
      <c r="A29">
        <v>2</v>
      </c>
      <c r="B29" s="10" t="s">
        <v>832</v>
      </c>
      <c r="C29" s="10" t="s">
        <v>63</v>
      </c>
      <c r="D29" s="10">
        <v>370</v>
      </c>
      <c r="E29" s="93">
        <v>138</v>
      </c>
      <c r="F29" s="10" t="s">
        <v>853</v>
      </c>
    </row>
    <row r="30" spans="1:6" x14ac:dyDescent="0.25">
      <c r="A30">
        <v>3</v>
      </c>
      <c r="B30" s="10" t="s">
        <v>832</v>
      </c>
      <c r="C30" s="10" t="s">
        <v>64</v>
      </c>
      <c r="D30" s="10">
        <v>612</v>
      </c>
      <c r="E30" s="93">
        <v>94</v>
      </c>
      <c r="F30" s="10" t="s">
        <v>853</v>
      </c>
    </row>
    <row r="31" spans="1:6" x14ac:dyDescent="0.25">
      <c r="A31">
        <v>4</v>
      </c>
      <c r="B31" s="10" t="s">
        <v>832</v>
      </c>
      <c r="C31" s="10" t="s">
        <v>65</v>
      </c>
      <c r="D31" s="10">
        <v>1216</v>
      </c>
      <c r="E31" s="93">
        <v>278</v>
      </c>
      <c r="F31" s="10" t="s">
        <v>853</v>
      </c>
    </row>
    <row r="32" spans="1:6" x14ac:dyDescent="0.25">
      <c r="A32">
        <v>5</v>
      </c>
      <c r="B32" s="10" t="s">
        <v>832</v>
      </c>
      <c r="C32" s="10" t="s">
        <v>66</v>
      </c>
      <c r="D32" s="10">
        <v>409</v>
      </c>
      <c r="E32" s="93">
        <v>158</v>
      </c>
      <c r="F32" s="10" t="s">
        <v>853</v>
      </c>
    </row>
    <row r="33" spans="1:6" x14ac:dyDescent="0.25">
      <c r="A33">
        <v>6</v>
      </c>
      <c r="B33" s="10" t="s">
        <v>832</v>
      </c>
      <c r="C33" s="10" t="s">
        <v>67</v>
      </c>
      <c r="D33" s="10">
        <v>1502</v>
      </c>
      <c r="E33" s="93">
        <v>258</v>
      </c>
      <c r="F33" s="10" t="s">
        <v>853</v>
      </c>
    </row>
    <row r="34" spans="1:6" x14ac:dyDescent="0.25">
      <c r="A34">
        <v>7</v>
      </c>
      <c r="B34" s="10" t="s">
        <v>832</v>
      </c>
      <c r="C34" s="10" t="s">
        <v>68</v>
      </c>
      <c r="D34" s="10">
        <v>946</v>
      </c>
      <c r="E34" s="93">
        <v>198</v>
      </c>
      <c r="F34" s="10" t="s">
        <v>853</v>
      </c>
    </row>
    <row r="35" spans="1:6" x14ac:dyDescent="0.25">
      <c r="A35">
        <v>8</v>
      </c>
      <c r="B35" s="10" t="s">
        <v>832</v>
      </c>
      <c r="C35" s="10" t="s">
        <v>69</v>
      </c>
      <c r="D35" s="10">
        <v>998</v>
      </c>
      <c r="E35" s="93">
        <v>188</v>
      </c>
      <c r="F35" s="10" t="s">
        <v>853</v>
      </c>
    </row>
    <row r="36" spans="1:6" x14ac:dyDescent="0.25">
      <c r="A36">
        <v>9</v>
      </c>
      <c r="B36" s="10" t="s">
        <v>832</v>
      </c>
      <c r="C36" s="10" t="s">
        <v>70</v>
      </c>
      <c r="D36" s="10">
        <v>189</v>
      </c>
      <c r="E36" s="93">
        <v>98</v>
      </c>
      <c r="F36" s="10" t="s">
        <v>853</v>
      </c>
    </row>
    <row r="37" spans="1:6" x14ac:dyDescent="0.25">
      <c r="A37">
        <v>10</v>
      </c>
      <c r="B37" s="10" t="s">
        <v>832</v>
      </c>
      <c r="C37" s="10" t="s">
        <v>71</v>
      </c>
      <c r="D37" s="10">
        <v>787</v>
      </c>
      <c r="E37" s="93">
        <v>179</v>
      </c>
      <c r="F37" s="10" t="s">
        <v>853</v>
      </c>
    </row>
    <row r="38" spans="1:6" x14ac:dyDescent="0.25">
      <c r="A38">
        <v>11</v>
      </c>
      <c r="B38" s="10" t="s">
        <v>832</v>
      </c>
      <c r="C38" s="10" t="s">
        <v>72</v>
      </c>
      <c r="D38" s="10">
        <v>210</v>
      </c>
      <c r="E38" s="93">
        <v>138</v>
      </c>
      <c r="F38" s="10" t="s">
        <v>853</v>
      </c>
    </row>
    <row r="39" spans="1:6" x14ac:dyDescent="0.25">
      <c r="A39">
        <v>12</v>
      </c>
      <c r="B39" s="10" t="s">
        <v>832</v>
      </c>
      <c r="C39" s="10" t="s">
        <v>73</v>
      </c>
      <c r="D39" s="10">
        <v>737</v>
      </c>
      <c r="E39" s="93">
        <v>98</v>
      </c>
      <c r="F39" s="10" t="s">
        <v>853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workbookViewId="0">
      <selection activeCell="E9" sqref="E9"/>
    </sheetView>
  </sheetViews>
  <sheetFormatPr defaultRowHeight="15" x14ac:dyDescent="0.25"/>
  <cols>
    <col min="1" max="1" width="12.5703125" customWidth="1"/>
    <col min="2" max="2" width="15" bestFit="1" customWidth="1"/>
    <col min="3" max="3" width="10" bestFit="1" customWidth="1"/>
    <col min="4" max="4" width="13.140625" customWidth="1"/>
    <col min="5" max="5" width="15.7109375" customWidth="1"/>
    <col min="6" max="6" width="12.28515625" customWidth="1"/>
  </cols>
  <sheetData>
    <row r="1" spans="1:4" ht="18" thickBot="1" x14ac:dyDescent="0.35">
      <c r="A1" s="54" t="s">
        <v>539</v>
      </c>
    </row>
    <row r="2" spans="1:4" ht="15.75" thickTop="1" x14ac:dyDescent="0.25"/>
    <row r="3" spans="1:4" x14ac:dyDescent="0.25">
      <c r="B3" t="s">
        <v>835</v>
      </c>
    </row>
    <row r="4" spans="1:4" x14ac:dyDescent="0.25">
      <c r="B4" t="s">
        <v>78</v>
      </c>
      <c r="C4" t="s">
        <v>74</v>
      </c>
      <c r="D4" t="s">
        <v>75</v>
      </c>
    </row>
    <row r="5" spans="1:4" x14ac:dyDescent="0.25">
      <c r="B5" t="str">
        <f>datagathering!$C$28</f>
        <v>Atlanta</v>
      </c>
      <c r="C5">
        <f>datagathering!$D$28</f>
        <v>576</v>
      </c>
      <c r="D5" s="14">
        <f>datagathering!$E$28</f>
        <v>178</v>
      </c>
    </row>
    <row r="6" spans="1:4" x14ac:dyDescent="0.25">
      <c r="B6" t="str">
        <f>datagathering!$C$29</f>
        <v>Boston</v>
      </c>
      <c r="C6">
        <f>datagathering!$D$29</f>
        <v>370</v>
      </c>
      <c r="D6" s="14">
        <f>datagathering!$E$29</f>
        <v>138</v>
      </c>
    </row>
    <row r="7" spans="1:4" x14ac:dyDescent="0.25">
      <c r="B7" t="str">
        <f>datagathering!$C$30</f>
        <v>Chicago</v>
      </c>
      <c r="C7">
        <f>datagathering!$D$30</f>
        <v>612</v>
      </c>
      <c r="D7" s="14">
        <f>datagathering!$E$30</f>
        <v>94</v>
      </c>
    </row>
    <row r="8" spans="1:4" x14ac:dyDescent="0.25">
      <c r="B8" t="str">
        <f>datagathering!$C$31</f>
        <v>Dallas/Fort Worth</v>
      </c>
      <c r="C8">
        <f>datagathering!$D$31</f>
        <v>1216</v>
      </c>
      <c r="D8" s="14">
        <f>datagathering!$E$31</f>
        <v>278</v>
      </c>
    </row>
    <row r="9" spans="1:4" x14ac:dyDescent="0.25">
      <c r="B9" t="str">
        <f>datagathering!$C$32</f>
        <v>Detroit</v>
      </c>
      <c r="C9">
        <f>datagathering!$D$32</f>
        <v>409</v>
      </c>
      <c r="D9" s="14">
        <f>datagathering!$E$32</f>
        <v>158</v>
      </c>
    </row>
    <row r="10" spans="1:4" x14ac:dyDescent="0.25">
      <c r="B10" t="str">
        <f>datagathering!$C$33</f>
        <v>Denver</v>
      </c>
      <c r="C10">
        <f>datagathering!$D$33</f>
        <v>1502</v>
      </c>
      <c r="D10" s="14">
        <f>datagathering!$E$33</f>
        <v>258</v>
      </c>
    </row>
    <row r="11" spans="1:4" x14ac:dyDescent="0.25">
      <c r="B11" t="str">
        <f>datagathering!$C$34</f>
        <v>Miami</v>
      </c>
      <c r="C11">
        <f>datagathering!$D$34</f>
        <v>946</v>
      </c>
      <c r="D11" s="14">
        <f>datagathering!$E$34</f>
        <v>198</v>
      </c>
    </row>
    <row r="12" spans="1:4" x14ac:dyDescent="0.25">
      <c r="B12" t="str">
        <f>datagathering!$C$35</f>
        <v>New Orleans</v>
      </c>
      <c r="C12">
        <f>datagathering!$D$35</f>
        <v>998</v>
      </c>
      <c r="D12" s="14">
        <f>datagathering!$E$35</f>
        <v>188</v>
      </c>
    </row>
    <row r="13" spans="1:4" x14ac:dyDescent="0.25">
      <c r="B13" t="str">
        <f>datagathering!$C$36</f>
        <v>New York</v>
      </c>
      <c r="C13">
        <f>datagathering!$D$36</f>
        <v>189</v>
      </c>
      <c r="D13" s="14">
        <f>datagathering!$E$36</f>
        <v>98</v>
      </c>
    </row>
    <row r="14" spans="1:4" x14ac:dyDescent="0.25">
      <c r="B14" t="str">
        <f>datagathering!$C$37</f>
        <v>Orlando</v>
      </c>
      <c r="C14">
        <f>datagathering!$D$37</f>
        <v>787</v>
      </c>
      <c r="D14" s="14">
        <f>datagathering!$E$37</f>
        <v>179</v>
      </c>
    </row>
    <row r="15" spans="1:4" x14ac:dyDescent="0.25">
      <c r="B15" t="str">
        <f>datagathering!$C$38</f>
        <v>Pittsburgh</v>
      </c>
      <c r="C15">
        <f>datagathering!$D$38</f>
        <v>210</v>
      </c>
      <c r="D15" s="14">
        <f>datagathering!$E$38</f>
        <v>138</v>
      </c>
    </row>
    <row r="16" spans="1:4" x14ac:dyDescent="0.25">
      <c r="B16" t="str">
        <f>datagathering!$C$39</f>
        <v>St. Louis</v>
      </c>
      <c r="C16">
        <f>datagathering!$D$39</f>
        <v>737</v>
      </c>
      <c r="D16" s="14">
        <f>datagathering!$E$39</f>
        <v>98</v>
      </c>
    </row>
    <row r="18" spans="2:4" x14ac:dyDescent="0.25">
      <c r="B18" t="s">
        <v>836</v>
      </c>
    </row>
    <row r="20" spans="2:4" x14ac:dyDescent="0.25">
      <c r="C20" t="s">
        <v>97</v>
      </c>
      <c r="D20" t="s">
        <v>838</v>
      </c>
    </row>
    <row r="21" spans="2:4" x14ac:dyDescent="0.25">
      <c r="C21" s="10">
        <v>500</v>
      </c>
      <c r="D21" s="10">
        <v>100</v>
      </c>
    </row>
    <row r="22" spans="2:4" x14ac:dyDescent="0.25">
      <c r="C22" s="10">
        <v>1000</v>
      </c>
      <c r="D22" s="10">
        <v>200</v>
      </c>
    </row>
    <row r="24" spans="2:4" x14ac:dyDescent="0.25">
      <c r="B24" t="s">
        <v>839</v>
      </c>
    </row>
    <row r="25" spans="2:4" x14ac:dyDescent="0.25">
      <c r="C25" t="s">
        <v>86</v>
      </c>
      <c r="D25" t="s">
        <v>87</v>
      </c>
    </row>
    <row r="26" spans="2:4" x14ac:dyDescent="0.25">
      <c r="C26" s="10"/>
      <c r="D26" s="10"/>
    </row>
    <row r="28" spans="2:4" x14ac:dyDescent="0.25">
      <c r="C28" t="s">
        <v>88</v>
      </c>
    </row>
    <row r="29" spans="2:4" x14ac:dyDescent="0.25">
      <c r="C29" s="10"/>
    </row>
    <row r="30" spans="2:4" x14ac:dyDescent="0.25">
      <c r="C30" t="s">
        <v>544</v>
      </c>
    </row>
    <row r="31" spans="2:4" x14ac:dyDescent="0.25">
      <c r="C31" s="10"/>
    </row>
    <row r="33" spans="1:7" x14ac:dyDescent="0.25">
      <c r="C33" t="s">
        <v>840</v>
      </c>
    </row>
    <row r="34" spans="1:7" x14ac:dyDescent="0.25">
      <c r="C34" t="s">
        <v>841</v>
      </c>
    </row>
    <row r="35" spans="1:7" x14ac:dyDescent="0.25">
      <c r="C35" t="s">
        <v>89</v>
      </c>
    </row>
    <row r="36" spans="1:7" x14ac:dyDescent="0.25">
      <c r="C36" s="10"/>
    </row>
    <row r="37" spans="1:7" x14ac:dyDescent="0.25">
      <c r="C37" t="s">
        <v>845</v>
      </c>
    </row>
    <row r="38" spans="1:7" x14ac:dyDescent="0.25">
      <c r="C38" s="10"/>
    </row>
    <row r="39" spans="1:7" x14ac:dyDescent="0.25">
      <c r="C39" t="s">
        <v>842</v>
      </c>
    </row>
    <row r="40" spans="1:7" x14ac:dyDescent="0.25">
      <c r="C40" t="s">
        <v>90</v>
      </c>
    </row>
    <row r="42" spans="1:7" x14ac:dyDescent="0.25">
      <c r="A42" t="s">
        <v>91</v>
      </c>
      <c r="B42" t="s">
        <v>92</v>
      </c>
      <c r="C42" s="10" t="s">
        <v>94</v>
      </c>
      <c r="D42" t="s">
        <v>95</v>
      </c>
      <c r="E42" s="10" t="s">
        <v>94</v>
      </c>
      <c r="F42" t="s">
        <v>96</v>
      </c>
      <c r="G42" t="s">
        <v>97</v>
      </c>
    </row>
    <row r="44" spans="1:7" x14ac:dyDescent="0.25">
      <c r="A44" t="s">
        <v>540</v>
      </c>
    </row>
    <row r="45" spans="1:7" x14ac:dyDescent="0.25">
      <c r="A45" t="s">
        <v>541</v>
      </c>
    </row>
    <row r="46" spans="1:7" x14ac:dyDescent="0.25">
      <c r="A46" t="s">
        <v>797</v>
      </c>
    </row>
    <row r="48" spans="1:7" x14ac:dyDescent="0.25">
      <c r="A48" t="s">
        <v>846</v>
      </c>
    </row>
    <row r="49" spans="1:9" x14ac:dyDescent="0.25">
      <c r="A49" t="s">
        <v>847</v>
      </c>
    </row>
    <row r="50" spans="1:9" x14ac:dyDescent="0.25">
      <c r="A50" t="s">
        <v>103</v>
      </c>
    </row>
    <row r="51" spans="1:9" x14ac:dyDescent="0.25">
      <c r="A51" t="s">
        <v>104</v>
      </c>
    </row>
    <row r="53" spans="1:9" x14ac:dyDescent="0.25">
      <c r="D53" t="s">
        <v>93</v>
      </c>
    </row>
    <row r="55" spans="1:9" x14ac:dyDescent="0.25">
      <c r="D55" t="s">
        <v>99</v>
      </c>
      <c r="F55" s="16" t="s">
        <v>100</v>
      </c>
    </row>
    <row r="56" spans="1:9" x14ac:dyDescent="0.25">
      <c r="A56" t="s">
        <v>76</v>
      </c>
      <c r="D56" t="s">
        <v>98</v>
      </c>
      <c r="F56" s="16" t="s">
        <v>101</v>
      </c>
    </row>
    <row r="57" spans="1:9" x14ac:dyDescent="0.25">
      <c r="A57" t="s">
        <v>77</v>
      </c>
      <c r="F57" s="16"/>
      <c r="H57" t="s">
        <v>543</v>
      </c>
    </row>
    <row r="58" spans="1:9" x14ac:dyDescent="0.25">
      <c r="C58" t="s">
        <v>81</v>
      </c>
      <c r="D58" s="20"/>
      <c r="F58" s="19"/>
      <c r="G58" s="56"/>
      <c r="H58" s="23"/>
      <c r="I58" t="s">
        <v>81</v>
      </c>
    </row>
    <row r="59" spans="1:9" x14ac:dyDescent="0.25">
      <c r="C59" t="s">
        <v>82</v>
      </c>
      <c r="D59" s="21"/>
      <c r="F59" s="18"/>
      <c r="G59" s="56"/>
      <c r="H59" s="23"/>
      <c r="I59" t="s">
        <v>82</v>
      </c>
    </row>
    <row r="60" spans="1:9" x14ac:dyDescent="0.25">
      <c r="F60" s="16"/>
    </row>
    <row r="61" spans="1:9" ht="15.75" thickBot="1" x14ac:dyDescent="0.3">
      <c r="D61" t="s">
        <v>80</v>
      </c>
      <c r="E61" t="s">
        <v>83</v>
      </c>
      <c r="F61" s="16" t="s">
        <v>80</v>
      </c>
      <c r="G61" t="s">
        <v>83</v>
      </c>
    </row>
    <row r="62" spans="1:9" x14ac:dyDescent="0.25">
      <c r="A62" t="s">
        <v>78</v>
      </c>
      <c r="B62" s="84" t="s">
        <v>74</v>
      </c>
      <c r="C62" s="85" t="s">
        <v>75</v>
      </c>
      <c r="D62" s="86" t="s">
        <v>79</v>
      </c>
      <c r="E62" t="s">
        <v>84</v>
      </c>
      <c r="F62" s="16" t="s">
        <v>79</v>
      </c>
      <c r="G62" t="s">
        <v>84</v>
      </c>
    </row>
    <row r="63" spans="1:9" x14ac:dyDescent="0.25">
      <c r="A63" t="str">
        <f>datagathering!$C$28</f>
        <v>Atlanta</v>
      </c>
      <c r="B63" s="87">
        <f>datagathering!$D$28</f>
        <v>576</v>
      </c>
      <c r="C63" s="88">
        <f>datagathering!$E$28</f>
        <v>178</v>
      </c>
      <c r="D63" s="89">
        <f t="shared" ref="D63:D74" si="0">airfareb0guess+airfareb1guess*B63</f>
        <v>0</v>
      </c>
      <c r="E63" s="14">
        <f>C63-D63</f>
        <v>178</v>
      </c>
      <c r="F63" s="17">
        <f t="shared" ref="F63:F74" si="1">airfareb0best+airfareb1best*B63</f>
        <v>0</v>
      </c>
      <c r="G63" s="10" t="s">
        <v>542</v>
      </c>
    </row>
    <row r="64" spans="1:9" x14ac:dyDescent="0.25">
      <c r="A64" t="str">
        <f>datagathering!$C$29</f>
        <v>Boston</v>
      </c>
      <c r="B64" s="87">
        <f>datagathering!$D$29</f>
        <v>370</v>
      </c>
      <c r="C64" s="88">
        <f>datagathering!$E$29</f>
        <v>138</v>
      </c>
      <c r="D64" s="89">
        <f t="shared" si="0"/>
        <v>0</v>
      </c>
      <c r="E64" s="14">
        <f t="shared" ref="E64:E74" si="2">C64-D64</f>
        <v>138</v>
      </c>
      <c r="F64" s="17">
        <f t="shared" si="1"/>
        <v>0</v>
      </c>
    </row>
    <row r="65" spans="1:7" x14ac:dyDescent="0.25">
      <c r="A65" t="str">
        <f>datagathering!$C$30</f>
        <v>Chicago</v>
      </c>
      <c r="B65" s="87">
        <f>datagathering!$D$30</f>
        <v>612</v>
      </c>
      <c r="C65" s="88">
        <f>datagathering!$E$30</f>
        <v>94</v>
      </c>
      <c r="D65" s="89">
        <f t="shared" si="0"/>
        <v>0</v>
      </c>
      <c r="E65" s="14">
        <f t="shared" si="2"/>
        <v>94</v>
      </c>
      <c r="F65" s="17">
        <f t="shared" si="1"/>
        <v>0</v>
      </c>
    </row>
    <row r="66" spans="1:7" x14ac:dyDescent="0.25">
      <c r="A66" t="str">
        <f>datagathering!$C$31</f>
        <v>Dallas/Fort Worth</v>
      </c>
      <c r="B66" s="87">
        <f>datagathering!$D$31</f>
        <v>1216</v>
      </c>
      <c r="C66" s="88">
        <f>datagathering!$E$31</f>
        <v>278</v>
      </c>
      <c r="D66" s="89">
        <f t="shared" si="0"/>
        <v>0</v>
      </c>
      <c r="E66" s="14">
        <f t="shared" si="2"/>
        <v>278</v>
      </c>
      <c r="F66" s="17">
        <f t="shared" si="1"/>
        <v>0</v>
      </c>
    </row>
    <row r="67" spans="1:7" x14ac:dyDescent="0.25">
      <c r="A67" t="str">
        <f>datagathering!$C$32</f>
        <v>Detroit</v>
      </c>
      <c r="B67" s="87">
        <f>datagathering!$D$32</f>
        <v>409</v>
      </c>
      <c r="C67" s="88">
        <f>datagathering!$E$32</f>
        <v>158</v>
      </c>
      <c r="D67" s="89">
        <f t="shared" si="0"/>
        <v>0</v>
      </c>
      <c r="E67" s="14">
        <f t="shared" si="2"/>
        <v>158</v>
      </c>
      <c r="F67" s="17">
        <f t="shared" si="1"/>
        <v>0</v>
      </c>
    </row>
    <row r="68" spans="1:7" x14ac:dyDescent="0.25">
      <c r="A68" t="str">
        <f>datagathering!$C$33</f>
        <v>Denver</v>
      </c>
      <c r="B68" s="87">
        <f>datagathering!$D$33</f>
        <v>1502</v>
      </c>
      <c r="C68" s="88">
        <f>datagathering!$E$33</f>
        <v>258</v>
      </c>
      <c r="D68" s="89">
        <f t="shared" si="0"/>
        <v>0</v>
      </c>
      <c r="E68" s="14">
        <f t="shared" si="2"/>
        <v>258</v>
      </c>
      <c r="F68" s="17">
        <f t="shared" si="1"/>
        <v>0</v>
      </c>
    </row>
    <row r="69" spans="1:7" x14ac:dyDescent="0.25">
      <c r="A69" t="str">
        <f>datagathering!$C$34</f>
        <v>Miami</v>
      </c>
      <c r="B69" s="87">
        <f>datagathering!$D$34</f>
        <v>946</v>
      </c>
      <c r="C69" s="88">
        <f>datagathering!$E$34</f>
        <v>198</v>
      </c>
      <c r="D69" s="89">
        <f t="shared" si="0"/>
        <v>0</v>
      </c>
      <c r="E69" s="14">
        <f t="shared" si="2"/>
        <v>198</v>
      </c>
      <c r="F69" s="17">
        <f t="shared" si="1"/>
        <v>0</v>
      </c>
    </row>
    <row r="70" spans="1:7" x14ac:dyDescent="0.25">
      <c r="A70" t="str">
        <f>datagathering!$C$35</f>
        <v>New Orleans</v>
      </c>
      <c r="B70" s="87">
        <f>datagathering!$D$35</f>
        <v>998</v>
      </c>
      <c r="C70" s="88">
        <f>datagathering!$E$35</f>
        <v>188</v>
      </c>
      <c r="D70" s="89">
        <f t="shared" si="0"/>
        <v>0</v>
      </c>
      <c r="E70" s="14">
        <f t="shared" si="2"/>
        <v>188</v>
      </c>
      <c r="F70" s="17">
        <f t="shared" si="1"/>
        <v>0</v>
      </c>
    </row>
    <row r="71" spans="1:7" x14ac:dyDescent="0.25">
      <c r="A71" t="str">
        <f>datagathering!$C$36</f>
        <v>New York</v>
      </c>
      <c r="B71" s="87">
        <f>datagathering!$D$36</f>
        <v>189</v>
      </c>
      <c r="C71" s="88">
        <f>datagathering!$E$36</f>
        <v>98</v>
      </c>
      <c r="D71" s="89">
        <f t="shared" si="0"/>
        <v>0</v>
      </c>
      <c r="E71" s="14">
        <f t="shared" si="2"/>
        <v>98</v>
      </c>
      <c r="F71" s="17">
        <f t="shared" si="1"/>
        <v>0</v>
      </c>
    </row>
    <row r="72" spans="1:7" x14ac:dyDescent="0.25">
      <c r="A72" t="str">
        <f>datagathering!$C$37</f>
        <v>Orlando</v>
      </c>
      <c r="B72" s="87">
        <f>datagathering!$D$37</f>
        <v>787</v>
      </c>
      <c r="C72" s="88">
        <f>datagathering!$E$37</f>
        <v>179</v>
      </c>
      <c r="D72" s="89">
        <f t="shared" si="0"/>
        <v>0</v>
      </c>
      <c r="E72" s="14">
        <f t="shared" si="2"/>
        <v>179</v>
      </c>
      <c r="F72" s="17">
        <f t="shared" si="1"/>
        <v>0</v>
      </c>
    </row>
    <row r="73" spans="1:7" x14ac:dyDescent="0.25">
      <c r="A73" t="str">
        <f>datagathering!$C$38</f>
        <v>Pittsburgh</v>
      </c>
      <c r="B73" s="87">
        <f>datagathering!$D$38</f>
        <v>210</v>
      </c>
      <c r="C73" s="88">
        <f>datagathering!$E$38</f>
        <v>138</v>
      </c>
      <c r="D73" s="89">
        <f t="shared" si="0"/>
        <v>0</v>
      </c>
      <c r="E73" s="14">
        <f t="shared" si="2"/>
        <v>138</v>
      </c>
      <c r="F73" s="17">
        <f t="shared" si="1"/>
        <v>0</v>
      </c>
    </row>
    <row r="74" spans="1:7" ht="15.75" thickBot="1" x14ac:dyDescent="0.3">
      <c r="A74" t="str">
        <f>datagathering!$C$39</f>
        <v>St. Louis</v>
      </c>
      <c r="B74" s="90">
        <f>datagathering!$D$39</f>
        <v>737</v>
      </c>
      <c r="C74" s="91">
        <f>datagathering!$E$39</f>
        <v>98</v>
      </c>
      <c r="D74" s="92">
        <f t="shared" si="0"/>
        <v>0</v>
      </c>
      <c r="E74" s="14">
        <f t="shared" si="2"/>
        <v>98</v>
      </c>
      <c r="F74" s="17">
        <f t="shared" si="1"/>
        <v>0</v>
      </c>
    </row>
    <row r="75" spans="1:7" x14ac:dyDescent="0.25">
      <c r="E75" t="s">
        <v>85</v>
      </c>
      <c r="G75" t="s">
        <v>85</v>
      </c>
    </row>
    <row r="76" spans="1:7" x14ac:dyDescent="0.25">
      <c r="E76" s="14">
        <f>SUMSQ(E63:E74)</f>
        <v>373217</v>
      </c>
      <c r="G76" s="24" t="s">
        <v>102</v>
      </c>
    </row>
    <row r="77" spans="1:7" x14ac:dyDescent="0.25">
      <c r="G77" t="s">
        <v>107</v>
      </c>
    </row>
    <row r="78" spans="1:7" x14ac:dyDescent="0.25">
      <c r="G78" t="s">
        <v>108</v>
      </c>
    </row>
    <row r="79" spans="1:7" x14ac:dyDescent="0.25">
      <c r="G79" s="10"/>
    </row>
    <row r="80" spans="1:7" x14ac:dyDescent="0.25">
      <c r="E80" t="s">
        <v>105</v>
      </c>
      <c r="G80" t="s">
        <v>105</v>
      </c>
    </row>
    <row r="81" spans="1:7" x14ac:dyDescent="0.25">
      <c r="E81" s="22">
        <f>SUM(E63:E74)</f>
        <v>2003</v>
      </c>
      <c r="G81" s="24" t="s">
        <v>102</v>
      </c>
    </row>
    <row r="82" spans="1:7" x14ac:dyDescent="0.25">
      <c r="G82" t="s">
        <v>106</v>
      </c>
    </row>
    <row r="83" spans="1:7" x14ac:dyDescent="0.25">
      <c r="G83" t="s">
        <v>526</v>
      </c>
    </row>
    <row r="84" spans="1:7" x14ac:dyDescent="0.25">
      <c r="G84" t="s">
        <v>545</v>
      </c>
    </row>
    <row r="85" spans="1:7" x14ac:dyDescent="0.25">
      <c r="G85" s="10"/>
    </row>
    <row r="86" spans="1:7" x14ac:dyDescent="0.25">
      <c r="G86" t="s">
        <v>527</v>
      </c>
    </row>
    <row r="87" spans="1:7" x14ac:dyDescent="0.25">
      <c r="G87" s="10"/>
    </row>
    <row r="88" spans="1:7" x14ac:dyDescent="0.25">
      <c r="G88" t="s">
        <v>550</v>
      </c>
    </row>
    <row r="89" spans="1:7" x14ac:dyDescent="0.25">
      <c r="G89" s="10"/>
    </row>
    <row r="91" spans="1:7" x14ac:dyDescent="0.25">
      <c r="A91" t="s">
        <v>546</v>
      </c>
    </row>
    <row r="92" spans="1:7" x14ac:dyDescent="0.25">
      <c r="A92" t="s">
        <v>547</v>
      </c>
    </row>
    <row r="93" spans="1:7" x14ac:dyDescent="0.25">
      <c r="A93" t="s">
        <v>548</v>
      </c>
    </row>
    <row r="94" spans="1:7" x14ac:dyDescent="0.25">
      <c r="A94" t="s">
        <v>549</v>
      </c>
    </row>
    <row r="95" spans="1:7" x14ac:dyDescent="0.25">
      <c r="A95" t="s">
        <v>843</v>
      </c>
    </row>
    <row r="96" spans="1:7" x14ac:dyDescent="0.25">
      <c r="A96" t="s">
        <v>844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A7" sqref="A7"/>
    </sheetView>
  </sheetViews>
  <sheetFormatPr defaultRowHeight="15" x14ac:dyDescent="0.25"/>
  <cols>
    <col min="1" max="1" width="11.85546875" customWidth="1"/>
    <col min="2" max="2" width="15" bestFit="1" customWidth="1"/>
    <col min="3" max="3" width="11.28515625" customWidth="1"/>
  </cols>
  <sheetData>
    <row r="1" spans="1:5" ht="18" thickBot="1" x14ac:dyDescent="0.35">
      <c r="A1" s="54" t="s">
        <v>551</v>
      </c>
    </row>
    <row r="2" spans="1:5" ht="15.75" thickTop="1" x14ac:dyDescent="0.25"/>
    <row r="3" spans="1:5" x14ac:dyDescent="0.25">
      <c r="B3" t="s">
        <v>848</v>
      </c>
    </row>
    <row r="4" spans="1:5" x14ac:dyDescent="0.25">
      <c r="B4" t="s">
        <v>849</v>
      </c>
    </row>
    <row r="5" spans="1:5" x14ac:dyDescent="0.25">
      <c r="B5" t="s">
        <v>850</v>
      </c>
    </row>
    <row r="7" spans="1:5" x14ac:dyDescent="0.25">
      <c r="D7" t="s">
        <v>121</v>
      </c>
    </row>
    <row r="8" spans="1:5" x14ac:dyDescent="0.25">
      <c r="C8" t="s">
        <v>81</v>
      </c>
      <c r="D8">
        <f>INTERCEPT(C13:C24,B13:B24)</f>
        <v>83.267353672410991</v>
      </c>
      <c r="E8" t="s">
        <v>561</v>
      </c>
    </row>
    <row r="9" spans="1:5" x14ac:dyDescent="0.25">
      <c r="C9" t="s">
        <v>82</v>
      </c>
      <c r="D9">
        <f>SLOPE(C13:C24,B13:B24)</f>
        <v>0.11737508839231385</v>
      </c>
    </row>
    <row r="11" spans="1:5" x14ac:dyDescent="0.25">
      <c r="D11" t="s">
        <v>80</v>
      </c>
    </row>
    <row r="12" spans="1:5" x14ac:dyDescent="0.25">
      <c r="A12" t="s">
        <v>78</v>
      </c>
      <c r="B12" t="s">
        <v>74</v>
      </c>
      <c r="C12" t="s">
        <v>75</v>
      </c>
      <c r="D12" t="s">
        <v>79</v>
      </c>
    </row>
    <row r="13" spans="1:5" x14ac:dyDescent="0.25">
      <c r="A13" t="str">
        <f>datagathering!$C$28</f>
        <v>Atlanta</v>
      </c>
      <c r="B13">
        <f>datagathering!$D$28</f>
        <v>576</v>
      </c>
      <c r="C13" s="14">
        <f>datagathering!$E$28</f>
        <v>178</v>
      </c>
      <c r="D13" s="12">
        <f t="shared" ref="D13:D24" si="0">$D$8+$D$9*B13</f>
        <v>150.87540458638375</v>
      </c>
      <c r="E13" s="14"/>
    </row>
    <row r="14" spans="1:5" x14ac:dyDescent="0.25">
      <c r="A14" t="str">
        <f>datagathering!$C$29</f>
        <v>Boston</v>
      </c>
      <c r="B14">
        <f>datagathering!$D$29</f>
        <v>370</v>
      </c>
      <c r="C14" s="14">
        <f>datagathering!$E$29</f>
        <v>138</v>
      </c>
      <c r="D14" s="12">
        <f t="shared" si="0"/>
        <v>126.69613637756711</v>
      </c>
      <c r="E14" s="14"/>
    </row>
    <row r="15" spans="1:5" x14ac:dyDescent="0.25">
      <c r="A15" t="str">
        <f>datagathering!$C$30</f>
        <v>Chicago</v>
      </c>
      <c r="B15">
        <f>datagathering!$D$30</f>
        <v>612</v>
      </c>
      <c r="C15" s="14">
        <f>datagathering!$E$30</f>
        <v>94</v>
      </c>
      <c r="D15" s="12">
        <f t="shared" si="0"/>
        <v>155.10090776850706</v>
      </c>
      <c r="E15" s="14"/>
    </row>
    <row r="16" spans="1:5" x14ac:dyDescent="0.25">
      <c r="A16" t="str">
        <f>datagathering!$C$31</f>
        <v>Dallas/Fort Worth</v>
      </c>
      <c r="B16">
        <f>datagathering!$D$31</f>
        <v>1216</v>
      </c>
      <c r="C16" s="14">
        <f>datagathering!$E$31</f>
        <v>278</v>
      </c>
      <c r="D16" s="12">
        <f t="shared" si="0"/>
        <v>225.99546115746463</v>
      </c>
      <c r="E16" s="14"/>
    </row>
    <row r="17" spans="1:13" x14ac:dyDescent="0.25">
      <c r="A17" t="str">
        <f>datagathering!$C$32</f>
        <v>Detroit</v>
      </c>
      <c r="B17">
        <f>datagathering!$D$32</f>
        <v>409</v>
      </c>
      <c r="C17" s="14">
        <f>datagathering!$E$32</f>
        <v>158</v>
      </c>
      <c r="D17" s="12">
        <f t="shared" si="0"/>
        <v>131.27376482486736</v>
      </c>
      <c r="E17" s="14"/>
    </row>
    <row r="18" spans="1:13" x14ac:dyDescent="0.25">
      <c r="A18" t="str">
        <f>datagathering!$C$33</f>
        <v>Denver</v>
      </c>
      <c r="B18">
        <f>datagathering!$D$33</f>
        <v>1502</v>
      </c>
      <c r="C18" s="14">
        <f>datagathering!$E$33</f>
        <v>258</v>
      </c>
      <c r="D18" s="12">
        <f t="shared" si="0"/>
        <v>259.5647364376664</v>
      </c>
      <c r="E18" s="14"/>
    </row>
    <row r="19" spans="1:13" x14ac:dyDescent="0.25">
      <c r="A19" t="str">
        <f>datagathering!$C$34</f>
        <v>Miami</v>
      </c>
      <c r="B19">
        <f>datagathering!$D$34</f>
        <v>946</v>
      </c>
      <c r="C19" s="14">
        <f>datagathering!$E$34</f>
        <v>198</v>
      </c>
      <c r="D19" s="12">
        <f t="shared" si="0"/>
        <v>194.3041872915399</v>
      </c>
      <c r="E19" s="14"/>
    </row>
    <row r="20" spans="1:13" x14ac:dyDescent="0.25">
      <c r="A20" t="str">
        <f>datagathering!$C$35</f>
        <v>New Orleans</v>
      </c>
      <c r="B20">
        <f>datagathering!$D$35</f>
        <v>998</v>
      </c>
      <c r="C20" s="14">
        <f>datagathering!$E$35</f>
        <v>188</v>
      </c>
      <c r="D20" s="12">
        <f t="shared" si="0"/>
        <v>200.40769188794022</v>
      </c>
      <c r="E20" s="14"/>
    </row>
    <row r="21" spans="1:13" x14ac:dyDescent="0.25">
      <c r="A21" t="str">
        <f>datagathering!$C$36</f>
        <v>New York</v>
      </c>
      <c r="B21">
        <f>datagathering!$D$36</f>
        <v>189</v>
      </c>
      <c r="C21" s="14">
        <f>datagathering!$E$36</f>
        <v>98</v>
      </c>
      <c r="D21" s="12">
        <f t="shared" si="0"/>
        <v>105.45124537855831</v>
      </c>
      <c r="E21" s="14"/>
    </row>
    <row r="22" spans="1:13" x14ac:dyDescent="0.25">
      <c r="A22" t="str">
        <f>datagathering!$C$37</f>
        <v>Orlando</v>
      </c>
      <c r="B22">
        <f>datagathering!$D$37</f>
        <v>787</v>
      </c>
      <c r="C22" s="14">
        <f>datagathering!$E$37</f>
        <v>179</v>
      </c>
      <c r="D22" s="12">
        <f t="shared" si="0"/>
        <v>175.641548237162</v>
      </c>
      <c r="E22" s="14"/>
    </row>
    <row r="23" spans="1:13" x14ac:dyDescent="0.25">
      <c r="A23" t="str">
        <f>datagathering!$C$38</f>
        <v>Pittsburgh</v>
      </c>
      <c r="B23">
        <f>datagathering!$D$38</f>
        <v>210</v>
      </c>
      <c r="C23" s="14">
        <f>datagathering!$E$38</f>
        <v>138</v>
      </c>
      <c r="D23" s="12">
        <f t="shared" si="0"/>
        <v>107.9161222347969</v>
      </c>
      <c r="E23" s="14"/>
    </row>
    <row r="24" spans="1:13" x14ac:dyDescent="0.25">
      <c r="A24" t="str">
        <f>datagathering!$C$39</f>
        <v>St. Louis</v>
      </c>
      <c r="B24">
        <f>datagathering!$D$39</f>
        <v>737</v>
      </c>
      <c r="C24" s="14">
        <f>datagathering!$E$39</f>
        <v>98</v>
      </c>
      <c r="D24" s="12">
        <f t="shared" si="0"/>
        <v>169.7727938175463</v>
      </c>
      <c r="E24" s="14"/>
    </row>
    <row r="26" spans="1:13" x14ac:dyDescent="0.25">
      <c r="A26" t="s">
        <v>553</v>
      </c>
    </row>
    <row r="27" spans="1:13" x14ac:dyDescent="0.25">
      <c r="A27" t="s">
        <v>557</v>
      </c>
    </row>
    <row r="28" spans="1:13" x14ac:dyDescent="0.25">
      <c r="A28" t="s">
        <v>558</v>
      </c>
    </row>
    <row r="29" spans="1:13" x14ac:dyDescent="0.25">
      <c r="B29" t="s">
        <v>74</v>
      </c>
      <c r="C29" t="s">
        <v>75</v>
      </c>
      <c r="D29" t="s">
        <v>79</v>
      </c>
    </row>
    <row r="30" spans="1:13" x14ac:dyDescent="0.25">
      <c r="A30" t="s">
        <v>554</v>
      </c>
      <c r="B30">
        <f>AVERAGE(B13:B24)</f>
        <v>712.66666666666663</v>
      </c>
      <c r="C30">
        <f>AVERAGE(C13:C24)</f>
        <v>166.91666666666666</v>
      </c>
      <c r="D30" s="10"/>
      <c r="F30" t="s">
        <v>555</v>
      </c>
      <c r="M30" s="10"/>
    </row>
    <row r="31" spans="1:13" x14ac:dyDescent="0.25">
      <c r="A31" t="s">
        <v>114</v>
      </c>
      <c r="B31">
        <f>MEDIAN(B13:B24)</f>
        <v>674.5</v>
      </c>
      <c r="C31">
        <f>MEDIAN(C13:C24)</f>
        <v>168</v>
      </c>
      <c r="D31" s="10"/>
      <c r="F31" t="s">
        <v>556</v>
      </c>
      <c r="M31" s="10"/>
    </row>
    <row r="32" spans="1:13" x14ac:dyDescent="0.25">
      <c r="A32" t="s">
        <v>116</v>
      </c>
    </row>
    <row r="33" spans="1:1" x14ac:dyDescent="0.25">
      <c r="A33" s="10"/>
    </row>
    <row r="35" spans="1:1" x14ac:dyDescent="0.25">
      <c r="A35" t="s">
        <v>559</v>
      </c>
    </row>
    <row r="37" spans="1:1" x14ac:dyDescent="0.25">
      <c r="A37" t="s">
        <v>552</v>
      </c>
    </row>
    <row r="40" spans="1:1" x14ac:dyDescent="0.25">
      <c r="A40" t="s">
        <v>560</v>
      </c>
    </row>
    <row r="41" spans="1:1" x14ac:dyDescent="0.25">
      <c r="A41" t="s">
        <v>115</v>
      </c>
    </row>
    <row r="42" spans="1:1" x14ac:dyDescent="0.25">
      <c r="A42" t="s">
        <v>494</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workbookViewId="0">
      <selection activeCell="E1" sqref="E1"/>
    </sheetView>
  </sheetViews>
  <sheetFormatPr defaultRowHeight="15" x14ac:dyDescent="0.25"/>
  <cols>
    <col min="2" max="2" width="15" bestFit="1" customWidth="1"/>
  </cols>
  <sheetData>
    <row r="1" spans="1:3" ht="18" thickBot="1" x14ac:dyDescent="0.35">
      <c r="A1" s="54" t="s">
        <v>109</v>
      </c>
    </row>
    <row r="2" spans="1:3" ht="15.75" thickTop="1" x14ac:dyDescent="0.25"/>
    <row r="3" spans="1:3" x14ac:dyDescent="0.25">
      <c r="A3" t="s">
        <v>110</v>
      </c>
    </row>
    <row r="4" spans="1:3" x14ac:dyDescent="0.25">
      <c r="A4" t="s">
        <v>111</v>
      </c>
    </row>
    <row r="5" spans="1:3" x14ac:dyDescent="0.25">
      <c r="A5" t="s">
        <v>337</v>
      </c>
    </row>
    <row r="6" spans="1:3" x14ac:dyDescent="0.25">
      <c r="A6" s="10"/>
    </row>
    <row r="7" spans="1:3" x14ac:dyDescent="0.25">
      <c r="A7" t="s">
        <v>112</v>
      </c>
    </row>
    <row r="8" spans="1:3" x14ac:dyDescent="0.25">
      <c r="A8" t="s">
        <v>113</v>
      </c>
    </row>
    <row r="10" spans="1:3" x14ac:dyDescent="0.25">
      <c r="A10" t="s">
        <v>117</v>
      </c>
    </row>
    <row r="11" spans="1:3" x14ac:dyDescent="0.25">
      <c r="A11" t="s">
        <v>562</v>
      </c>
    </row>
    <row r="13" spans="1:3" x14ac:dyDescent="0.25">
      <c r="A13" t="s">
        <v>118</v>
      </c>
    </row>
    <row r="15" spans="1:3" x14ac:dyDescent="0.25">
      <c r="A15" t="s">
        <v>119</v>
      </c>
    </row>
    <row r="16" spans="1:3" x14ac:dyDescent="0.25">
      <c r="A16" t="s">
        <v>78</v>
      </c>
      <c r="B16" t="s">
        <v>74</v>
      </c>
      <c r="C16" t="s">
        <v>75</v>
      </c>
    </row>
    <row r="17" spans="1:3" x14ac:dyDescent="0.25">
      <c r="A17" t="str">
        <f>datagathering!$C$28</f>
        <v>Atlanta</v>
      </c>
      <c r="B17">
        <f>datagathering!$D$28</f>
        <v>576</v>
      </c>
      <c r="C17" s="14">
        <f>datagathering!$E$28</f>
        <v>178</v>
      </c>
    </row>
    <row r="18" spans="1:3" x14ac:dyDescent="0.25">
      <c r="A18" t="str">
        <f>datagathering!$C$29</f>
        <v>Boston</v>
      </c>
      <c r="B18">
        <f>datagathering!$D$29</f>
        <v>370</v>
      </c>
      <c r="C18" s="14">
        <f>datagathering!$E$29</f>
        <v>138</v>
      </c>
    </row>
    <row r="19" spans="1:3" x14ac:dyDescent="0.25">
      <c r="A19" t="str">
        <f>datagathering!$C$30</f>
        <v>Chicago</v>
      </c>
      <c r="B19">
        <f>datagathering!$D$30</f>
        <v>612</v>
      </c>
      <c r="C19" s="14">
        <f>datagathering!$E$30</f>
        <v>94</v>
      </c>
    </row>
    <row r="20" spans="1:3" x14ac:dyDescent="0.25">
      <c r="A20" t="str">
        <f>datagathering!$C$31</f>
        <v>Dallas/Fort Worth</v>
      </c>
      <c r="B20">
        <f>datagathering!$D$31</f>
        <v>1216</v>
      </c>
      <c r="C20" s="14">
        <f>datagathering!$E$31</f>
        <v>278</v>
      </c>
    </row>
    <row r="21" spans="1:3" x14ac:dyDescent="0.25">
      <c r="A21" t="str">
        <f>datagathering!$C$32</f>
        <v>Detroit</v>
      </c>
      <c r="B21">
        <f>datagathering!$D$32</f>
        <v>409</v>
      </c>
      <c r="C21" s="14">
        <f>datagathering!$E$32</f>
        <v>158</v>
      </c>
    </row>
    <row r="22" spans="1:3" x14ac:dyDescent="0.25">
      <c r="A22" t="str">
        <f>datagathering!$C$33</f>
        <v>Denver</v>
      </c>
      <c r="B22">
        <f>datagathering!$D$33</f>
        <v>1502</v>
      </c>
      <c r="C22" s="14">
        <f>datagathering!$E$33</f>
        <v>258</v>
      </c>
    </row>
    <row r="23" spans="1:3" x14ac:dyDescent="0.25">
      <c r="A23" t="str">
        <f>datagathering!$C$34</f>
        <v>Miami</v>
      </c>
      <c r="B23">
        <f>datagathering!$D$34</f>
        <v>946</v>
      </c>
      <c r="C23" s="14">
        <f>datagathering!$E$34</f>
        <v>198</v>
      </c>
    </row>
    <row r="24" spans="1:3" x14ac:dyDescent="0.25">
      <c r="A24" t="str">
        <f>datagathering!$C$35</f>
        <v>New Orleans</v>
      </c>
      <c r="B24">
        <f>datagathering!$D$35</f>
        <v>998</v>
      </c>
      <c r="C24" s="14">
        <f>datagathering!$E$35</f>
        <v>188</v>
      </c>
    </row>
    <row r="25" spans="1:3" x14ac:dyDescent="0.25">
      <c r="A25" t="str">
        <f>datagathering!$C$36</f>
        <v>New York</v>
      </c>
      <c r="B25">
        <f>datagathering!$D$36</f>
        <v>189</v>
      </c>
      <c r="C25" s="14">
        <f>datagathering!$E$36</f>
        <v>98</v>
      </c>
    </row>
    <row r="26" spans="1:3" x14ac:dyDescent="0.25">
      <c r="A26" t="str">
        <f>datagathering!$C$37</f>
        <v>Orlando</v>
      </c>
      <c r="B26">
        <f>datagathering!$D$37</f>
        <v>787</v>
      </c>
      <c r="C26" s="14">
        <f>datagathering!$E$37</f>
        <v>179</v>
      </c>
    </row>
    <row r="27" spans="1:3" x14ac:dyDescent="0.25">
      <c r="A27" t="str">
        <f>datagathering!$C$38</f>
        <v>Pittsburgh</v>
      </c>
      <c r="B27">
        <f>datagathering!$D$38</f>
        <v>210</v>
      </c>
      <c r="C27" s="14">
        <f>datagathering!$E$38</f>
        <v>138</v>
      </c>
    </row>
    <row r="28" spans="1:3" x14ac:dyDescent="0.25">
      <c r="A28" t="str">
        <f>datagathering!$C$39</f>
        <v>St. Louis</v>
      </c>
      <c r="B28">
        <f>datagathering!$D$39</f>
        <v>737</v>
      </c>
      <c r="C28" s="14">
        <f>datagathering!$E$39</f>
        <v>98</v>
      </c>
    </row>
    <row r="31" spans="1:3" x14ac:dyDescent="0.25">
      <c r="A31" t="s">
        <v>338</v>
      </c>
    </row>
    <row r="32" spans="1:3" x14ac:dyDescent="0.25">
      <c r="A32" t="s">
        <v>78</v>
      </c>
      <c r="B32" t="s">
        <v>74</v>
      </c>
      <c r="C32" t="s">
        <v>75</v>
      </c>
    </row>
    <row r="33" spans="1:3" x14ac:dyDescent="0.25">
      <c r="A33" t="str">
        <f>datagathering!$C$28</f>
        <v>Atlanta</v>
      </c>
      <c r="B33">
        <f>datagathering!$D$28</f>
        <v>576</v>
      </c>
      <c r="C33" s="14">
        <f>datagathering!$E$28</f>
        <v>178</v>
      </c>
    </row>
    <row r="34" spans="1:3" x14ac:dyDescent="0.25">
      <c r="A34" t="str">
        <f>datagathering!$C$29</f>
        <v>Boston</v>
      </c>
      <c r="B34">
        <f>datagathering!$D$29</f>
        <v>370</v>
      </c>
      <c r="C34" s="14">
        <f>datagathering!$E$29</f>
        <v>138</v>
      </c>
    </row>
    <row r="35" spans="1:3" x14ac:dyDescent="0.25">
      <c r="A35" t="str">
        <f>datagathering!$C$30</f>
        <v>Chicago</v>
      </c>
      <c r="B35">
        <f>datagathering!$D$30</f>
        <v>612</v>
      </c>
      <c r="C35" s="14">
        <f>datagathering!$E$30</f>
        <v>94</v>
      </c>
    </row>
    <row r="36" spans="1:3" x14ac:dyDescent="0.25">
      <c r="A36" t="str">
        <f>datagathering!$C$31</f>
        <v>Dallas/Fort Worth</v>
      </c>
      <c r="B36">
        <f>datagathering!$D$31</f>
        <v>1216</v>
      </c>
      <c r="C36" s="14">
        <f>datagathering!$E$31</f>
        <v>278</v>
      </c>
    </row>
    <row r="37" spans="1:3" x14ac:dyDescent="0.25">
      <c r="A37" t="str">
        <f>datagathering!$C$32</f>
        <v>Detroit</v>
      </c>
      <c r="B37">
        <f>datagathering!$D$32</f>
        <v>409</v>
      </c>
      <c r="C37" s="14">
        <f>datagathering!$E$32</f>
        <v>158</v>
      </c>
    </row>
    <row r="38" spans="1:3" x14ac:dyDescent="0.25">
      <c r="A38" t="str">
        <f>datagathering!$C$33</f>
        <v>Denver</v>
      </c>
      <c r="B38">
        <f>datagathering!$D$33</f>
        <v>1502</v>
      </c>
      <c r="C38" s="14">
        <f>datagathering!$E$33</f>
        <v>258</v>
      </c>
    </row>
    <row r="39" spans="1:3" x14ac:dyDescent="0.25">
      <c r="A39" t="str">
        <f>datagathering!$C$34</f>
        <v>Miami</v>
      </c>
      <c r="B39">
        <f>datagathering!$D$34</f>
        <v>946</v>
      </c>
      <c r="C39" s="14">
        <f>datagathering!$E$34</f>
        <v>198</v>
      </c>
    </row>
    <row r="40" spans="1:3" x14ac:dyDescent="0.25">
      <c r="A40" t="str">
        <f>datagathering!$C$35</f>
        <v>New Orleans</v>
      </c>
      <c r="B40">
        <f>datagathering!$D$35</f>
        <v>998</v>
      </c>
      <c r="C40" s="14">
        <f>datagathering!$E$35</f>
        <v>188</v>
      </c>
    </row>
    <row r="41" spans="1:3" x14ac:dyDescent="0.25">
      <c r="A41" t="str">
        <f>datagathering!$C$36</f>
        <v>New York</v>
      </c>
      <c r="B41">
        <f>datagathering!$D$36</f>
        <v>189</v>
      </c>
      <c r="C41" s="14">
        <f>datagathering!$E$36</f>
        <v>98</v>
      </c>
    </row>
    <row r="42" spans="1:3" x14ac:dyDescent="0.25">
      <c r="A42" t="str">
        <f>datagathering!$C$37</f>
        <v>Orlando</v>
      </c>
      <c r="B42">
        <f>datagathering!$D$37</f>
        <v>787</v>
      </c>
      <c r="C42" s="14">
        <f>datagathering!$E$37</f>
        <v>179</v>
      </c>
    </row>
    <row r="43" spans="1:3" x14ac:dyDescent="0.25">
      <c r="A43" t="str">
        <f>datagathering!$C$38</f>
        <v>Pittsburgh</v>
      </c>
      <c r="B43">
        <f>datagathering!$D$38</f>
        <v>210</v>
      </c>
      <c r="C43" s="14">
        <f>datagathering!$E$38</f>
        <v>138</v>
      </c>
    </row>
    <row r="44" spans="1:3" x14ac:dyDescent="0.25">
      <c r="A44" t="str">
        <f>datagathering!$C$39</f>
        <v>St. Louis</v>
      </c>
      <c r="B44">
        <f>datagathering!$D$39</f>
        <v>737</v>
      </c>
      <c r="C44" s="14">
        <f>datagathering!$E$39</f>
        <v>98</v>
      </c>
    </row>
    <row r="45" spans="1:3" x14ac:dyDescent="0.25">
      <c r="A45" t="s">
        <v>563</v>
      </c>
    </row>
    <row r="46" spans="1:3" x14ac:dyDescent="0.25">
      <c r="A46" t="s">
        <v>564</v>
      </c>
    </row>
    <row r="47" spans="1:3" x14ac:dyDescent="0.25">
      <c r="A47" s="10"/>
    </row>
    <row r="51" spans="1:3" x14ac:dyDescent="0.25">
      <c r="A51" t="s">
        <v>339</v>
      </c>
    </row>
    <row r="52" spans="1:3" x14ac:dyDescent="0.25">
      <c r="A52" t="s">
        <v>78</v>
      </c>
      <c r="B52" t="s">
        <v>74</v>
      </c>
      <c r="C52" t="s">
        <v>75</v>
      </c>
    </row>
    <row r="53" spans="1:3" x14ac:dyDescent="0.25">
      <c r="A53" t="str">
        <f>datagathering!$C$28</f>
        <v>Atlanta</v>
      </c>
      <c r="B53">
        <f>datagathering!$D$28</f>
        <v>576</v>
      </c>
      <c r="C53" s="14">
        <f>datagathering!$E$28</f>
        <v>178</v>
      </c>
    </row>
    <row r="54" spans="1:3" x14ac:dyDescent="0.25">
      <c r="A54" t="str">
        <f>datagathering!$C$29</f>
        <v>Boston</v>
      </c>
      <c r="B54">
        <f>datagathering!$D$29</f>
        <v>370</v>
      </c>
      <c r="C54" s="14">
        <f>datagathering!$E$29</f>
        <v>138</v>
      </c>
    </row>
    <row r="55" spans="1:3" x14ac:dyDescent="0.25">
      <c r="A55" t="str">
        <f>datagathering!$C$30</f>
        <v>Chicago</v>
      </c>
      <c r="B55">
        <f>datagathering!$D$30</f>
        <v>612</v>
      </c>
      <c r="C55" s="14">
        <f>datagathering!$E$30</f>
        <v>94</v>
      </c>
    </row>
    <row r="56" spans="1:3" x14ac:dyDescent="0.25">
      <c r="A56" t="str">
        <f>datagathering!$C$31</f>
        <v>Dallas/Fort Worth</v>
      </c>
      <c r="B56">
        <f>datagathering!$D$31</f>
        <v>1216</v>
      </c>
      <c r="C56" s="14">
        <f>datagathering!$E$31</f>
        <v>278</v>
      </c>
    </row>
    <row r="57" spans="1:3" x14ac:dyDescent="0.25">
      <c r="A57" t="str">
        <f>datagathering!$C$32</f>
        <v>Detroit</v>
      </c>
      <c r="B57">
        <f>datagathering!$D$32</f>
        <v>409</v>
      </c>
      <c r="C57" s="14">
        <f>datagathering!$E$32</f>
        <v>158</v>
      </c>
    </row>
    <row r="58" spans="1:3" x14ac:dyDescent="0.25">
      <c r="A58" t="str">
        <f>datagathering!$C$33</f>
        <v>Denver</v>
      </c>
      <c r="B58">
        <f>datagathering!$D$33</f>
        <v>1502</v>
      </c>
      <c r="C58" s="14">
        <f>datagathering!$E$33</f>
        <v>258</v>
      </c>
    </row>
    <row r="59" spans="1:3" x14ac:dyDescent="0.25">
      <c r="A59" t="str">
        <f>datagathering!$C$34</f>
        <v>Miami</v>
      </c>
      <c r="B59">
        <f>datagathering!$D$34</f>
        <v>946</v>
      </c>
      <c r="C59" s="14">
        <f>datagathering!$E$34</f>
        <v>198</v>
      </c>
    </row>
    <row r="60" spans="1:3" x14ac:dyDescent="0.25">
      <c r="A60" t="str">
        <f>datagathering!$C$35</f>
        <v>New Orleans</v>
      </c>
      <c r="B60">
        <f>datagathering!$D$35</f>
        <v>998</v>
      </c>
      <c r="C60" s="14">
        <f>datagathering!$E$35</f>
        <v>188</v>
      </c>
    </row>
    <row r="61" spans="1:3" x14ac:dyDescent="0.25">
      <c r="A61" t="str">
        <f>datagathering!$C$36</f>
        <v>New York</v>
      </c>
      <c r="B61">
        <f>datagathering!$D$36</f>
        <v>189</v>
      </c>
      <c r="C61" s="14">
        <f>datagathering!$E$36</f>
        <v>98</v>
      </c>
    </row>
    <row r="62" spans="1:3" x14ac:dyDescent="0.25">
      <c r="A62" t="str">
        <f>datagathering!$C$37</f>
        <v>Orlando</v>
      </c>
      <c r="B62">
        <f>datagathering!$D$37</f>
        <v>787</v>
      </c>
      <c r="C62" s="14">
        <f>datagathering!$E$37</f>
        <v>179</v>
      </c>
    </row>
    <row r="63" spans="1:3" x14ac:dyDescent="0.25">
      <c r="A63" t="str">
        <f>datagathering!$C$38</f>
        <v>Pittsburgh</v>
      </c>
      <c r="B63">
        <f>datagathering!$D$38</f>
        <v>210</v>
      </c>
      <c r="C63" s="14">
        <f>datagathering!$E$38</f>
        <v>138</v>
      </c>
    </row>
    <row r="64" spans="1:3" x14ac:dyDescent="0.25">
      <c r="A64" t="str">
        <f>datagathering!$C$39</f>
        <v>St. Louis</v>
      </c>
      <c r="B64">
        <f>datagathering!$D$39</f>
        <v>737</v>
      </c>
      <c r="C64" s="14">
        <f>datagathering!$E$39</f>
        <v>98</v>
      </c>
    </row>
    <row r="65" spans="1:3" x14ac:dyDescent="0.25">
      <c r="A65" t="s">
        <v>120</v>
      </c>
    </row>
    <row r="66" spans="1:3" x14ac:dyDescent="0.25">
      <c r="A66" t="s">
        <v>564</v>
      </c>
    </row>
    <row r="67" spans="1:3" x14ac:dyDescent="0.25">
      <c r="A67" s="10"/>
    </row>
    <row r="69" spans="1:3" x14ac:dyDescent="0.25">
      <c r="A69" t="s">
        <v>565</v>
      </c>
    </row>
    <row r="71" spans="1:3" x14ac:dyDescent="0.25">
      <c r="A71" t="s">
        <v>340</v>
      </c>
    </row>
    <row r="72" spans="1:3" x14ac:dyDescent="0.25">
      <c r="A72" t="s">
        <v>78</v>
      </c>
      <c r="B72" t="s">
        <v>74</v>
      </c>
      <c r="C72" t="s">
        <v>75</v>
      </c>
    </row>
    <row r="73" spans="1:3" x14ac:dyDescent="0.25">
      <c r="A73" t="str">
        <f>datagathering!$C$28</f>
        <v>Atlanta</v>
      </c>
      <c r="B73">
        <f>datagathering!$D$28</f>
        <v>576</v>
      </c>
      <c r="C73" s="14">
        <f>datagathering!$E$28</f>
        <v>178</v>
      </c>
    </row>
    <row r="74" spans="1:3" x14ac:dyDescent="0.25">
      <c r="A74" t="str">
        <f>datagathering!$C$29</f>
        <v>Boston</v>
      </c>
      <c r="B74">
        <f>datagathering!$D$29</f>
        <v>370</v>
      </c>
      <c r="C74" s="14">
        <f>datagathering!$E$29</f>
        <v>138</v>
      </c>
    </row>
    <row r="75" spans="1:3" x14ac:dyDescent="0.25">
      <c r="A75" t="str">
        <f>datagathering!$C$30</f>
        <v>Chicago</v>
      </c>
      <c r="B75">
        <f>datagathering!$D$30</f>
        <v>612</v>
      </c>
      <c r="C75" s="14">
        <f>datagathering!$E$30</f>
        <v>94</v>
      </c>
    </row>
    <row r="76" spans="1:3" x14ac:dyDescent="0.25">
      <c r="A76" t="str">
        <f>datagathering!$C$31</f>
        <v>Dallas/Fort Worth</v>
      </c>
      <c r="B76">
        <f>datagathering!$D$31</f>
        <v>1216</v>
      </c>
      <c r="C76" s="14">
        <f>datagathering!$E$31</f>
        <v>278</v>
      </c>
    </row>
    <row r="77" spans="1:3" x14ac:dyDescent="0.25">
      <c r="A77" t="str">
        <f>datagathering!$C$32</f>
        <v>Detroit</v>
      </c>
      <c r="B77">
        <f>datagathering!$D$32</f>
        <v>409</v>
      </c>
      <c r="C77" s="14">
        <f>datagathering!$E$32</f>
        <v>158</v>
      </c>
    </row>
    <row r="78" spans="1:3" x14ac:dyDescent="0.25">
      <c r="A78" t="str">
        <f>datagathering!$C$33</f>
        <v>Denver</v>
      </c>
      <c r="B78">
        <f>datagathering!$D$33</f>
        <v>1502</v>
      </c>
      <c r="C78" s="14">
        <f>datagathering!$E$33</f>
        <v>258</v>
      </c>
    </row>
    <row r="79" spans="1:3" x14ac:dyDescent="0.25">
      <c r="A79" t="str">
        <f>datagathering!$C$34</f>
        <v>Miami</v>
      </c>
      <c r="B79">
        <f>datagathering!$D$34</f>
        <v>946</v>
      </c>
      <c r="C79" s="14">
        <f>datagathering!$E$34</f>
        <v>198</v>
      </c>
    </row>
    <row r="80" spans="1:3" x14ac:dyDescent="0.25">
      <c r="A80" t="str">
        <f>datagathering!$C$35</f>
        <v>New Orleans</v>
      </c>
      <c r="B80">
        <f>datagathering!$D$35</f>
        <v>998</v>
      </c>
      <c r="C80" s="14">
        <f>datagathering!$E$35</f>
        <v>188</v>
      </c>
    </row>
    <row r="81" spans="1:3" x14ac:dyDescent="0.25">
      <c r="A81" t="str">
        <f>datagathering!$C$36</f>
        <v>New York</v>
      </c>
      <c r="B81">
        <f>datagathering!$D$36</f>
        <v>189</v>
      </c>
      <c r="C81" s="14">
        <f>datagathering!$E$36</f>
        <v>98</v>
      </c>
    </row>
    <row r="82" spans="1:3" x14ac:dyDescent="0.25">
      <c r="A82" t="str">
        <f>datagathering!$C$37</f>
        <v>Orlando</v>
      </c>
      <c r="B82">
        <f>datagathering!$D$37</f>
        <v>787</v>
      </c>
      <c r="C82" s="14">
        <f>datagathering!$E$37</f>
        <v>179</v>
      </c>
    </row>
    <row r="83" spans="1:3" x14ac:dyDescent="0.25">
      <c r="A83" t="str">
        <f>datagathering!$C$38</f>
        <v>Pittsburgh</v>
      </c>
      <c r="B83">
        <f>datagathering!$D$38</f>
        <v>210</v>
      </c>
      <c r="C83" s="14">
        <f>datagathering!$E$38</f>
        <v>138</v>
      </c>
    </row>
    <row r="84" spans="1:3" x14ac:dyDescent="0.25">
      <c r="A84" t="str">
        <f>datagathering!$C$39</f>
        <v>St. Louis</v>
      </c>
      <c r="B84">
        <f>datagathering!$D$39</f>
        <v>737</v>
      </c>
      <c r="C84" s="14">
        <f>datagathering!$E$39</f>
        <v>98</v>
      </c>
    </row>
    <row r="85" spans="1:3" x14ac:dyDescent="0.25">
      <c r="A85" t="s">
        <v>120</v>
      </c>
    </row>
    <row r="86" spans="1:3" x14ac:dyDescent="0.25">
      <c r="A86" t="s">
        <v>564</v>
      </c>
    </row>
    <row r="87" spans="1:3" x14ac:dyDescent="0.25">
      <c r="A87" s="10"/>
    </row>
    <row r="91" spans="1:3" x14ac:dyDescent="0.25">
      <c r="A91" t="s">
        <v>341</v>
      </c>
    </row>
    <row r="92" spans="1:3" x14ac:dyDescent="0.25">
      <c r="A92" t="s">
        <v>78</v>
      </c>
      <c r="B92" t="s">
        <v>74</v>
      </c>
      <c r="C92" t="s">
        <v>75</v>
      </c>
    </row>
    <row r="93" spans="1:3" x14ac:dyDescent="0.25">
      <c r="A93" t="str">
        <f>datagathering!$C$28</f>
        <v>Atlanta</v>
      </c>
      <c r="B93">
        <f>datagathering!$D$28</f>
        <v>576</v>
      </c>
      <c r="C93" s="14">
        <f>datagathering!$E$28</f>
        <v>178</v>
      </c>
    </row>
    <row r="94" spans="1:3" x14ac:dyDescent="0.25">
      <c r="A94" t="str">
        <f>datagathering!$C$29</f>
        <v>Boston</v>
      </c>
      <c r="B94">
        <f>datagathering!$D$29</f>
        <v>370</v>
      </c>
      <c r="C94" s="14">
        <f>datagathering!$E$29</f>
        <v>138</v>
      </c>
    </row>
    <row r="95" spans="1:3" x14ac:dyDescent="0.25">
      <c r="A95" t="str">
        <f>datagathering!$C$30</f>
        <v>Chicago</v>
      </c>
      <c r="B95">
        <f>datagathering!$D$30</f>
        <v>612</v>
      </c>
      <c r="C95" s="14">
        <f>datagathering!$E$30</f>
        <v>94</v>
      </c>
    </row>
    <row r="96" spans="1:3" x14ac:dyDescent="0.25">
      <c r="A96" t="str">
        <f>datagathering!$C$31</f>
        <v>Dallas/Fort Worth</v>
      </c>
      <c r="B96">
        <f>datagathering!$D$31</f>
        <v>1216</v>
      </c>
      <c r="C96" s="14">
        <f>datagathering!$E$31</f>
        <v>278</v>
      </c>
    </row>
    <row r="97" spans="1:3" x14ac:dyDescent="0.25">
      <c r="A97" t="str">
        <f>datagathering!$C$32</f>
        <v>Detroit</v>
      </c>
      <c r="B97">
        <f>datagathering!$D$32</f>
        <v>409</v>
      </c>
      <c r="C97" s="14">
        <f>datagathering!$E$32</f>
        <v>158</v>
      </c>
    </row>
    <row r="98" spans="1:3" x14ac:dyDescent="0.25">
      <c r="A98" t="str">
        <f>datagathering!$C$33</f>
        <v>Denver</v>
      </c>
      <c r="B98">
        <f>datagathering!$D$33</f>
        <v>1502</v>
      </c>
      <c r="C98" s="14">
        <f>datagathering!$E$33</f>
        <v>258</v>
      </c>
    </row>
    <row r="99" spans="1:3" x14ac:dyDescent="0.25">
      <c r="A99" t="str">
        <f>datagathering!$C$34</f>
        <v>Miami</v>
      </c>
      <c r="B99">
        <f>datagathering!$D$34</f>
        <v>946</v>
      </c>
      <c r="C99" s="14">
        <f>datagathering!$E$34</f>
        <v>198</v>
      </c>
    </row>
    <row r="100" spans="1:3" x14ac:dyDescent="0.25">
      <c r="A100" t="str">
        <f>datagathering!$C$35</f>
        <v>New Orleans</v>
      </c>
      <c r="B100">
        <f>datagathering!$D$35</f>
        <v>998</v>
      </c>
      <c r="C100" s="14">
        <f>datagathering!$E$35</f>
        <v>188</v>
      </c>
    </row>
    <row r="101" spans="1:3" x14ac:dyDescent="0.25">
      <c r="A101" t="str">
        <f>datagathering!$C$36</f>
        <v>New York</v>
      </c>
      <c r="B101">
        <f>datagathering!$D$36</f>
        <v>189</v>
      </c>
      <c r="C101" s="14">
        <f>datagathering!$E$36</f>
        <v>98</v>
      </c>
    </row>
    <row r="102" spans="1:3" x14ac:dyDescent="0.25">
      <c r="A102" t="str">
        <f>datagathering!$C$37</f>
        <v>Orlando</v>
      </c>
      <c r="B102">
        <f>datagathering!$D$37</f>
        <v>787</v>
      </c>
      <c r="C102" s="14">
        <f>datagathering!$E$37</f>
        <v>179</v>
      </c>
    </row>
    <row r="103" spans="1:3" x14ac:dyDescent="0.25">
      <c r="A103" t="str">
        <f>datagathering!$C$38</f>
        <v>Pittsburgh</v>
      </c>
      <c r="B103">
        <f>datagathering!$D$38</f>
        <v>210</v>
      </c>
      <c r="C103" s="14">
        <f>datagathering!$E$38</f>
        <v>138</v>
      </c>
    </row>
    <row r="104" spans="1:3" x14ac:dyDescent="0.25">
      <c r="A104" t="str">
        <f>datagathering!$C$39</f>
        <v>St. Louis</v>
      </c>
      <c r="B104">
        <f>datagathering!$D$39</f>
        <v>737</v>
      </c>
      <c r="C104" s="14">
        <f>datagathering!$E$39</f>
        <v>98</v>
      </c>
    </row>
    <row r="105" spans="1:3" x14ac:dyDescent="0.25">
      <c r="A105" t="s">
        <v>120</v>
      </c>
    </row>
    <row r="106" spans="1:3" x14ac:dyDescent="0.25">
      <c r="A106" t="s">
        <v>564</v>
      </c>
    </row>
    <row r="107" spans="1:3" x14ac:dyDescent="0.25">
      <c r="A107" s="10"/>
    </row>
    <row r="111" spans="1:3" x14ac:dyDescent="0.25">
      <c r="A111" t="s">
        <v>342</v>
      </c>
    </row>
    <row r="112" spans="1:3" x14ac:dyDescent="0.25">
      <c r="A112" t="s">
        <v>78</v>
      </c>
      <c r="B112" t="s">
        <v>74</v>
      </c>
      <c r="C112" t="s">
        <v>75</v>
      </c>
    </row>
    <row r="113" spans="1:3" x14ac:dyDescent="0.25">
      <c r="A113" t="str">
        <f>datagathering!$C$28</f>
        <v>Atlanta</v>
      </c>
      <c r="B113">
        <f>datagathering!$D$28</f>
        <v>576</v>
      </c>
      <c r="C113" s="14">
        <f>datagathering!$E$28</f>
        <v>178</v>
      </c>
    </row>
    <row r="114" spans="1:3" x14ac:dyDescent="0.25">
      <c r="A114" t="str">
        <f>datagathering!$C$29</f>
        <v>Boston</v>
      </c>
      <c r="B114">
        <f>datagathering!$D$29</f>
        <v>370</v>
      </c>
      <c r="C114" s="14">
        <f>datagathering!$E$29</f>
        <v>138</v>
      </c>
    </row>
    <row r="115" spans="1:3" x14ac:dyDescent="0.25">
      <c r="A115" t="str">
        <f>datagathering!$C$30</f>
        <v>Chicago</v>
      </c>
      <c r="B115">
        <f>datagathering!$D$30</f>
        <v>612</v>
      </c>
      <c r="C115" s="14">
        <f>datagathering!$E$30</f>
        <v>94</v>
      </c>
    </row>
    <row r="116" spans="1:3" x14ac:dyDescent="0.25">
      <c r="A116" t="str">
        <f>datagathering!$C$31</f>
        <v>Dallas/Fort Worth</v>
      </c>
      <c r="B116">
        <f>datagathering!$D$31</f>
        <v>1216</v>
      </c>
      <c r="C116" s="14">
        <f>datagathering!$E$31</f>
        <v>278</v>
      </c>
    </row>
    <row r="117" spans="1:3" x14ac:dyDescent="0.25">
      <c r="A117" t="str">
        <f>datagathering!$C$32</f>
        <v>Detroit</v>
      </c>
      <c r="B117">
        <f>datagathering!$D$32</f>
        <v>409</v>
      </c>
      <c r="C117" s="14">
        <f>datagathering!$E$32</f>
        <v>158</v>
      </c>
    </row>
    <row r="118" spans="1:3" x14ac:dyDescent="0.25">
      <c r="A118" t="str">
        <f>datagathering!$C$33</f>
        <v>Denver</v>
      </c>
      <c r="B118">
        <f>datagathering!$D$33</f>
        <v>1502</v>
      </c>
      <c r="C118" s="14">
        <f>datagathering!$E$33</f>
        <v>258</v>
      </c>
    </row>
    <row r="119" spans="1:3" x14ac:dyDescent="0.25">
      <c r="A119" t="str">
        <f>datagathering!$C$34</f>
        <v>Miami</v>
      </c>
      <c r="B119">
        <f>datagathering!$D$34</f>
        <v>946</v>
      </c>
      <c r="C119" s="14">
        <f>datagathering!$E$34</f>
        <v>198</v>
      </c>
    </row>
    <row r="120" spans="1:3" x14ac:dyDescent="0.25">
      <c r="A120" t="str">
        <f>datagathering!$C$35</f>
        <v>New Orleans</v>
      </c>
      <c r="B120">
        <f>datagathering!$D$35</f>
        <v>998</v>
      </c>
      <c r="C120" s="14">
        <f>datagathering!$E$35</f>
        <v>188</v>
      </c>
    </row>
    <row r="121" spans="1:3" x14ac:dyDescent="0.25">
      <c r="A121" t="str">
        <f>datagathering!$C$36</f>
        <v>New York</v>
      </c>
      <c r="B121">
        <f>datagathering!$D$36</f>
        <v>189</v>
      </c>
      <c r="C121" s="14">
        <f>datagathering!$E$36</f>
        <v>98</v>
      </c>
    </row>
    <row r="122" spans="1:3" x14ac:dyDescent="0.25">
      <c r="A122" t="str">
        <f>datagathering!$C$37</f>
        <v>Orlando</v>
      </c>
      <c r="B122">
        <f>datagathering!$D$37</f>
        <v>787</v>
      </c>
      <c r="C122" s="14">
        <f>datagathering!$E$37</f>
        <v>179</v>
      </c>
    </row>
    <row r="123" spans="1:3" x14ac:dyDescent="0.25">
      <c r="A123" t="str">
        <f>datagathering!$C$38</f>
        <v>Pittsburgh</v>
      </c>
      <c r="B123">
        <f>datagathering!$D$38</f>
        <v>210</v>
      </c>
      <c r="C123" s="14">
        <f>datagathering!$E$38</f>
        <v>138</v>
      </c>
    </row>
    <row r="124" spans="1:3" x14ac:dyDescent="0.25">
      <c r="A124" t="str">
        <f>datagathering!$C$39</f>
        <v>St. Louis</v>
      </c>
      <c r="B124">
        <f>datagathering!$D$39</f>
        <v>737</v>
      </c>
      <c r="C124" s="14">
        <f>datagathering!$E$39</f>
        <v>98</v>
      </c>
    </row>
    <row r="125" spans="1:3" x14ac:dyDescent="0.25">
      <c r="A125" t="s">
        <v>120</v>
      </c>
    </row>
    <row r="126" spans="1:3" x14ac:dyDescent="0.25">
      <c r="A126" t="s">
        <v>564</v>
      </c>
    </row>
    <row r="127" spans="1:3" x14ac:dyDescent="0.25">
      <c r="A127" s="10"/>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5"/>
  <sheetViews>
    <sheetView zoomScale="40" zoomScaleNormal="40" workbookViewId="0">
      <selection activeCell="A100" sqref="A100:C111"/>
    </sheetView>
  </sheetViews>
  <sheetFormatPr defaultRowHeight="15" x14ac:dyDescent="0.25"/>
  <cols>
    <col min="1" max="1" width="12.140625" customWidth="1"/>
    <col min="2" max="2" width="15.7109375" customWidth="1"/>
    <col min="3" max="3" width="19" bestFit="1" customWidth="1"/>
    <col min="4" max="4" width="17.85546875" customWidth="1"/>
    <col min="5" max="5" width="11.42578125" customWidth="1"/>
    <col min="6" max="6" width="10.28515625" bestFit="1" customWidth="1"/>
  </cols>
  <sheetData>
    <row r="1" spans="1:33" ht="18" thickBot="1" x14ac:dyDescent="0.35">
      <c r="A1" s="54" t="s">
        <v>566</v>
      </c>
    </row>
    <row r="2" spans="1:33" ht="15.75" thickTop="1" x14ac:dyDescent="0.25"/>
    <row r="3" spans="1:33" x14ac:dyDescent="0.25">
      <c r="A3" t="s">
        <v>567</v>
      </c>
    </row>
    <row r="4" spans="1:33" x14ac:dyDescent="0.25">
      <c r="A4" t="s">
        <v>166</v>
      </c>
    </row>
    <row r="6" spans="1:33" x14ac:dyDescent="0.25">
      <c r="A6" t="s">
        <v>169</v>
      </c>
    </row>
    <row r="8" spans="1:33" x14ac:dyDescent="0.25">
      <c r="A8" t="s">
        <v>576</v>
      </c>
    </row>
    <row r="9" spans="1:33" x14ac:dyDescent="0.25">
      <c r="AD9" t="s">
        <v>568</v>
      </c>
    </row>
    <row r="10" spans="1:33" x14ac:dyDescent="0.25">
      <c r="AD10" t="s">
        <v>569</v>
      </c>
    </row>
    <row r="11" spans="1:33" x14ac:dyDescent="0.25">
      <c r="AD11" t="s">
        <v>570</v>
      </c>
    </row>
    <row r="12" spans="1:33" x14ac:dyDescent="0.25">
      <c r="C12" t="s">
        <v>167</v>
      </c>
      <c r="D12">
        <f>INTERCEPT(C16:C27,B16:B27)</f>
        <v>2.0705</v>
      </c>
    </row>
    <row r="13" spans="1:33" x14ac:dyDescent="0.25">
      <c r="C13" t="s">
        <v>88</v>
      </c>
      <c r="D13">
        <f>SLOPE(C16:C27,B16:B27)</f>
        <v>1.0786666666666665E-2</v>
      </c>
      <c r="AD13" t="s">
        <v>191</v>
      </c>
    </row>
    <row r="14" spans="1:33" x14ac:dyDescent="0.25">
      <c r="B14" t="s">
        <v>12</v>
      </c>
      <c r="D14" t="s">
        <v>168</v>
      </c>
      <c r="AD14" t="s">
        <v>192</v>
      </c>
      <c r="AE14" t="s">
        <v>193</v>
      </c>
      <c r="AF14" t="s">
        <v>194</v>
      </c>
      <c r="AG14" t="s">
        <v>195</v>
      </c>
    </row>
    <row r="15" spans="1:33" x14ac:dyDescent="0.25">
      <c r="A15" t="s">
        <v>45</v>
      </c>
      <c r="B15" t="s">
        <v>0</v>
      </c>
      <c r="C15" t="s">
        <v>47</v>
      </c>
      <c r="D15" t="s">
        <v>79</v>
      </c>
      <c r="E15" t="s">
        <v>83</v>
      </c>
      <c r="AD15">
        <v>1</v>
      </c>
      <c r="AE15">
        <f>SMALL($E$16:$E$27,AD15)</f>
        <v>-0.5014333333333334</v>
      </c>
      <c r="AF15">
        <f>(AD15-3/8)/(MAX($AD$15:$AD$26)+0.25)</f>
        <v>5.1020408163265307E-2</v>
      </c>
      <c r="AG15">
        <f>NORMINV(AF15,0,1)</f>
        <v>-1.6350392668017106</v>
      </c>
    </row>
    <row r="16" spans="1:33" x14ac:dyDescent="0.25">
      <c r="A16">
        <v>1</v>
      </c>
      <c r="B16">
        <v>20</v>
      </c>
      <c r="C16" s="1">
        <v>2.3769999999999998</v>
      </c>
      <c r="D16">
        <f t="shared" ref="D16:D27" si="0">$D$12+$D$13*B16</f>
        <v>2.2862333333333331</v>
      </c>
      <c r="E16" s="1">
        <f>C16-D16</f>
        <v>9.0766666666666662E-2</v>
      </c>
      <c r="AD16">
        <v>2</v>
      </c>
      <c r="AE16">
        <f t="shared" ref="AE16:AE26" si="1">SMALL($E$16:$E$27,AD16)</f>
        <v>-0.30796666666666672</v>
      </c>
      <c r="AF16">
        <f t="shared" ref="AF16:AF26" si="2">(AD16-3/8)/(MAX($AD$15:$AD$26)+0.25)</f>
        <v>0.1326530612244898</v>
      </c>
      <c r="AG16">
        <f t="shared" ref="AG16:AG26" si="3">NORMINV(AF16,0,1)</f>
        <v>-1.1139372153566887</v>
      </c>
    </row>
    <row r="17" spans="1:33" x14ac:dyDescent="0.25">
      <c r="A17">
        <v>2</v>
      </c>
      <c r="B17">
        <v>20</v>
      </c>
      <c r="C17" s="1">
        <v>2.0819999999999999</v>
      </c>
      <c r="D17">
        <f t="shared" si="0"/>
        <v>2.2862333333333331</v>
      </c>
      <c r="E17" s="1">
        <f t="shared" ref="E17:E27" si="4">C17-D17</f>
        <v>-0.20423333333333327</v>
      </c>
      <c r="AD17">
        <v>3</v>
      </c>
      <c r="AE17">
        <f t="shared" si="1"/>
        <v>-0.20423333333333327</v>
      </c>
      <c r="AF17">
        <f t="shared" si="2"/>
        <v>0.21428571428571427</v>
      </c>
      <c r="AG17">
        <f t="shared" si="3"/>
        <v>-0.79163860774337469</v>
      </c>
    </row>
    <row r="18" spans="1:33" x14ac:dyDescent="0.25">
      <c r="A18">
        <v>3</v>
      </c>
      <c r="B18">
        <v>20</v>
      </c>
      <c r="C18" s="1">
        <v>2.2909999999999999</v>
      </c>
      <c r="D18">
        <f t="shared" si="0"/>
        <v>2.2862333333333331</v>
      </c>
      <c r="E18" s="1">
        <f t="shared" si="4"/>
        <v>4.7666666666668078E-3</v>
      </c>
      <c r="AD18">
        <v>4</v>
      </c>
      <c r="AE18">
        <f t="shared" si="1"/>
        <v>-0.17669999999999986</v>
      </c>
      <c r="AF18">
        <f t="shared" si="2"/>
        <v>0.29591836734693877</v>
      </c>
      <c r="AG18">
        <f t="shared" si="3"/>
        <v>-0.53617626636580651</v>
      </c>
    </row>
    <row r="19" spans="1:33" x14ac:dyDescent="0.25">
      <c r="A19">
        <v>4</v>
      </c>
      <c r="B19">
        <v>40</v>
      </c>
      <c r="C19" s="1">
        <v>2.61</v>
      </c>
      <c r="D19">
        <f t="shared" si="0"/>
        <v>2.5019666666666667</v>
      </c>
      <c r="E19" s="1">
        <f t="shared" si="4"/>
        <v>0.1080333333333332</v>
      </c>
      <c r="AD19">
        <v>5</v>
      </c>
      <c r="AE19">
        <f t="shared" si="1"/>
        <v>4.7666666666668078E-3</v>
      </c>
      <c r="AF19">
        <f t="shared" si="2"/>
        <v>0.37755102040816324</v>
      </c>
      <c r="AG19">
        <f t="shared" si="3"/>
        <v>-0.31191905482032528</v>
      </c>
    </row>
    <row r="20" spans="1:33" x14ac:dyDescent="0.25">
      <c r="A20">
        <v>5</v>
      </c>
      <c r="B20">
        <v>40</v>
      </c>
      <c r="C20" s="1">
        <v>2.194</v>
      </c>
      <c r="D20">
        <f t="shared" si="0"/>
        <v>2.5019666666666667</v>
      </c>
      <c r="E20" s="1">
        <f t="shared" si="4"/>
        <v>-0.30796666666666672</v>
      </c>
      <c r="AD20">
        <v>6</v>
      </c>
      <c r="AE20">
        <f t="shared" si="1"/>
        <v>2.5566666666666293E-2</v>
      </c>
      <c r="AF20">
        <f t="shared" si="2"/>
        <v>0.45918367346938777</v>
      </c>
      <c r="AG20">
        <f t="shared" si="3"/>
        <v>-0.10249050769145145</v>
      </c>
    </row>
    <row r="21" spans="1:33" x14ac:dyDescent="0.25">
      <c r="A21">
        <v>6</v>
      </c>
      <c r="B21">
        <v>40</v>
      </c>
      <c r="C21" s="1">
        <v>2.718</v>
      </c>
      <c r="D21">
        <f t="shared" si="0"/>
        <v>2.5019666666666667</v>
      </c>
      <c r="E21" s="1">
        <f t="shared" si="4"/>
        <v>0.2160333333333333</v>
      </c>
      <c r="AD21">
        <v>7</v>
      </c>
      <c r="AE21">
        <f t="shared" si="1"/>
        <v>9.0766666666666662E-2</v>
      </c>
      <c r="AF21">
        <f t="shared" si="2"/>
        <v>0.54081632653061229</v>
      </c>
      <c r="AG21">
        <f t="shared" si="3"/>
        <v>0.10249050769145157</v>
      </c>
    </row>
    <row r="22" spans="1:33" x14ac:dyDescent="0.25">
      <c r="A22">
        <v>7</v>
      </c>
      <c r="B22">
        <v>60</v>
      </c>
      <c r="C22" s="1">
        <v>2.9359999999999999</v>
      </c>
      <c r="D22">
        <f t="shared" si="0"/>
        <v>2.7176999999999998</v>
      </c>
      <c r="E22" s="1">
        <f t="shared" si="4"/>
        <v>0.21830000000000016</v>
      </c>
      <c r="AD22">
        <v>8</v>
      </c>
      <c r="AE22">
        <f t="shared" si="1"/>
        <v>0.1080333333333332</v>
      </c>
      <c r="AF22">
        <f t="shared" si="2"/>
        <v>0.62244897959183676</v>
      </c>
      <c r="AG22">
        <f t="shared" si="3"/>
        <v>0.31191905482032528</v>
      </c>
    </row>
    <row r="23" spans="1:33" x14ac:dyDescent="0.25">
      <c r="A23">
        <v>8</v>
      </c>
      <c r="B23">
        <v>60</v>
      </c>
      <c r="C23" s="1">
        <v>2.5409999999999999</v>
      </c>
      <c r="D23">
        <f t="shared" si="0"/>
        <v>2.7176999999999998</v>
      </c>
      <c r="E23" s="1">
        <f t="shared" si="4"/>
        <v>-0.17669999999999986</v>
      </c>
      <c r="AD23">
        <v>9</v>
      </c>
      <c r="AE23">
        <f t="shared" si="1"/>
        <v>0.2160333333333333</v>
      </c>
      <c r="AF23">
        <f t="shared" si="2"/>
        <v>0.70408163265306123</v>
      </c>
      <c r="AG23">
        <f t="shared" si="3"/>
        <v>0.53617626636580651</v>
      </c>
    </row>
    <row r="24" spans="1:33" x14ac:dyDescent="0.25">
      <c r="A24">
        <v>9</v>
      </c>
      <c r="B24">
        <v>60</v>
      </c>
      <c r="C24" s="1">
        <v>2.97</v>
      </c>
      <c r="D24">
        <f t="shared" si="0"/>
        <v>2.7176999999999998</v>
      </c>
      <c r="E24" s="1">
        <f t="shared" si="4"/>
        <v>0.25230000000000041</v>
      </c>
      <c r="AD24">
        <v>10</v>
      </c>
      <c r="AE24">
        <f t="shared" si="1"/>
        <v>0.21830000000000016</v>
      </c>
      <c r="AF24">
        <f t="shared" si="2"/>
        <v>0.7857142857142857</v>
      </c>
      <c r="AG24">
        <f t="shared" si="3"/>
        <v>0.79163860774337469</v>
      </c>
    </row>
    <row r="25" spans="1:33" x14ac:dyDescent="0.25">
      <c r="A25">
        <v>10</v>
      </c>
      <c r="B25">
        <v>80</v>
      </c>
      <c r="C25" s="1">
        <v>2.9589999999999996</v>
      </c>
      <c r="D25">
        <f t="shared" si="0"/>
        <v>2.9334333333333333</v>
      </c>
      <c r="E25" s="1">
        <f t="shared" si="4"/>
        <v>2.5566666666666293E-2</v>
      </c>
      <c r="AD25">
        <v>11</v>
      </c>
      <c r="AE25">
        <f t="shared" si="1"/>
        <v>0.25230000000000041</v>
      </c>
      <c r="AF25">
        <f t="shared" si="2"/>
        <v>0.86734693877551017</v>
      </c>
      <c r="AG25">
        <f t="shared" si="3"/>
        <v>1.1139372153566887</v>
      </c>
    </row>
    <row r="26" spans="1:33" x14ac:dyDescent="0.25">
      <c r="A26">
        <v>11</v>
      </c>
      <c r="B26">
        <v>80</v>
      </c>
      <c r="C26" s="1">
        <v>3.2079999999999997</v>
      </c>
      <c r="D26">
        <f t="shared" si="0"/>
        <v>2.9334333333333333</v>
      </c>
      <c r="E26" s="1">
        <f t="shared" si="4"/>
        <v>0.2745666666666664</v>
      </c>
      <c r="AD26">
        <v>12</v>
      </c>
      <c r="AE26">
        <f t="shared" si="1"/>
        <v>0.2745666666666664</v>
      </c>
      <c r="AF26">
        <f t="shared" si="2"/>
        <v>0.94897959183673475</v>
      </c>
      <c r="AG26">
        <f t="shared" si="3"/>
        <v>1.6350392668017109</v>
      </c>
    </row>
    <row r="27" spans="1:33" x14ac:dyDescent="0.25">
      <c r="A27">
        <v>12</v>
      </c>
      <c r="B27">
        <v>80</v>
      </c>
      <c r="C27" s="1">
        <v>2.4319999999999999</v>
      </c>
      <c r="D27">
        <f t="shared" si="0"/>
        <v>2.9334333333333333</v>
      </c>
      <c r="E27" s="1">
        <f t="shared" si="4"/>
        <v>-0.5014333333333334</v>
      </c>
    </row>
    <row r="29" spans="1:33" x14ac:dyDescent="0.25">
      <c r="C29" t="s">
        <v>167</v>
      </c>
      <c r="D29">
        <f>INTERCEPT(C33:C62,B33:B62)</f>
        <v>9.9329128388680736</v>
      </c>
    </row>
    <row r="30" spans="1:33" x14ac:dyDescent="0.25">
      <c r="C30" t="s">
        <v>88</v>
      </c>
      <c r="D30">
        <f>SLOPE(C33:C62,B33:B62)</f>
        <v>1.2084992814302681E-4</v>
      </c>
    </row>
    <row r="31" spans="1:33" x14ac:dyDescent="0.25">
      <c r="A31" t="s">
        <v>13</v>
      </c>
      <c r="D31" t="s">
        <v>168</v>
      </c>
      <c r="AD31" t="s">
        <v>191</v>
      </c>
    </row>
    <row r="32" spans="1:33" ht="26.25" x14ac:dyDescent="0.25">
      <c r="A32" t="s">
        <v>46</v>
      </c>
      <c r="B32" s="4" t="s">
        <v>1</v>
      </c>
      <c r="C32" s="2" t="s">
        <v>2</v>
      </c>
      <c r="D32" t="s">
        <v>79</v>
      </c>
      <c r="E32" t="s">
        <v>83</v>
      </c>
      <c r="AD32" t="s">
        <v>192</v>
      </c>
      <c r="AE32" t="s">
        <v>193</v>
      </c>
      <c r="AF32" t="s">
        <v>194</v>
      </c>
      <c r="AG32" t="s">
        <v>195</v>
      </c>
    </row>
    <row r="33" spans="1:33" x14ac:dyDescent="0.25">
      <c r="A33">
        <v>1</v>
      </c>
      <c r="B33" s="5">
        <v>60697</v>
      </c>
      <c r="C33" s="3">
        <v>16.644444444444446</v>
      </c>
      <c r="D33" s="15">
        <f>$D$29+$D$30*B33</f>
        <v>17.268140927365373</v>
      </c>
      <c r="E33" s="1">
        <f>C33-D33</f>
        <v>-0.62369648292092705</v>
      </c>
      <c r="AD33">
        <v>1</v>
      </c>
      <c r="AE33">
        <f>SMALL($E$33:$E$62,AD33)</f>
        <v>-2.9059622443174629</v>
      </c>
      <c r="AF33">
        <f>(AD33-3/8)/(MAX($AD$33:$AD$62)+0.25)</f>
        <v>2.0661157024793389E-2</v>
      </c>
      <c r="AG33">
        <f>NORMINV(AF33,0,1)</f>
        <v>-2.040281322010411</v>
      </c>
    </row>
    <row r="34" spans="1:33" x14ac:dyDescent="0.25">
      <c r="A34">
        <v>2</v>
      </c>
      <c r="B34" s="5">
        <v>50156</v>
      </c>
      <c r="C34" s="3">
        <v>15.991228070175438</v>
      </c>
      <c r="D34" s="15">
        <f t="shared" ref="D34:D62" si="5">$D$29+$D$30*B34</f>
        <v>15.994261834809727</v>
      </c>
      <c r="E34" s="1">
        <f t="shared" ref="E34:E62" si="6">C34-D34</f>
        <v>-3.033764634288616E-3</v>
      </c>
      <c r="AD34">
        <v>2</v>
      </c>
      <c r="AE34">
        <f t="shared" ref="AE34:AE62" si="7">SMALL($E$33:$E$62,AD34)</f>
        <v>-2.803683702014176</v>
      </c>
      <c r="AF34">
        <f t="shared" ref="AF34:AF62" si="8">(AD34-3/8)/(MAX($AD$33:$AD$62)+0.25)</f>
        <v>5.3719008264462811E-2</v>
      </c>
      <c r="AG34">
        <f t="shared" ref="AG34:AG62" si="9">NORMINV(AF34,0,1)</f>
        <v>-1.6098160671844481</v>
      </c>
    </row>
    <row r="35" spans="1:33" x14ac:dyDescent="0.25">
      <c r="A35">
        <v>3</v>
      </c>
      <c r="B35" s="5">
        <v>45448</v>
      </c>
      <c r="C35" s="3">
        <v>16.55952380952381</v>
      </c>
      <c r="D35" s="15">
        <f t="shared" si="5"/>
        <v>15.425300373112357</v>
      </c>
      <c r="E35" s="1">
        <f t="shared" si="6"/>
        <v>1.1342234364114532</v>
      </c>
      <c r="AD35">
        <v>3</v>
      </c>
      <c r="AE35">
        <f t="shared" si="7"/>
        <v>-2.2841215261504804</v>
      </c>
      <c r="AF35">
        <f t="shared" si="8"/>
        <v>8.6776859504132234E-2</v>
      </c>
      <c r="AG35">
        <f t="shared" si="9"/>
        <v>-1.3608733428671878</v>
      </c>
    </row>
    <row r="36" spans="1:33" x14ac:dyDescent="0.25">
      <c r="A36">
        <v>4</v>
      </c>
      <c r="B36" s="5">
        <v>46504</v>
      </c>
      <c r="C36" s="3">
        <v>13.487603305785123</v>
      </c>
      <c r="D36" s="15">
        <f t="shared" si="5"/>
        <v>15.552917897231392</v>
      </c>
      <c r="E36" s="1">
        <f t="shared" si="6"/>
        <v>-2.0653145914462687</v>
      </c>
      <c r="AD36">
        <v>4</v>
      </c>
      <c r="AE36">
        <f t="shared" si="7"/>
        <v>-2.0653145914462687</v>
      </c>
      <c r="AF36">
        <f t="shared" si="8"/>
        <v>0.11983471074380166</v>
      </c>
      <c r="AG36">
        <f t="shared" si="9"/>
        <v>-1.1758134725500293</v>
      </c>
    </row>
    <row r="37" spans="1:33" x14ac:dyDescent="0.25">
      <c r="A37">
        <v>5</v>
      </c>
      <c r="B37" s="5">
        <v>52424</v>
      </c>
      <c r="C37" s="3">
        <v>16.048780487804876</v>
      </c>
      <c r="D37" s="15">
        <f t="shared" si="5"/>
        <v>16.268349471838111</v>
      </c>
      <c r="E37" s="1">
        <f t="shared" si="6"/>
        <v>-0.21956898403323422</v>
      </c>
      <c r="AD37">
        <v>5</v>
      </c>
      <c r="AE37">
        <f t="shared" si="7"/>
        <v>-1.998043155061346</v>
      </c>
      <c r="AF37">
        <f t="shared" si="8"/>
        <v>0.15289256198347106</v>
      </c>
      <c r="AG37">
        <f t="shared" si="9"/>
        <v>-1.0241061837416221</v>
      </c>
    </row>
    <row r="38" spans="1:33" x14ac:dyDescent="0.25">
      <c r="A38">
        <v>6</v>
      </c>
      <c r="B38" s="5">
        <v>42508</v>
      </c>
      <c r="C38" s="3">
        <v>14.808219178082192</v>
      </c>
      <c r="D38" s="15">
        <f t="shared" si="5"/>
        <v>15.070001584371857</v>
      </c>
      <c r="E38" s="1">
        <f t="shared" si="6"/>
        <v>-0.2617824062896652</v>
      </c>
      <c r="AD38">
        <v>6</v>
      </c>
      <c r="AE38">
        <f t="shared" si="7"/>
        <v>-1.2223241953369151</v>
      </c>
      <c r="AF38">
        <f t="shared" si="8"/>
        <v>0.18595041322314049</v>
      </c>
      <c r="AG38">
        <f t="shared" si="9"/>
        <v>-0.89291848644439564</v>
      </c>
    </row>
    <row r="39" spans="1:33" x14ac:dyDescent="0.25">
      <c r="A39">
        <v>7</v>
      </c>
      <c r="B39" s="5">
        <v>50831</v>
      </c>
      <c r="C39" s="3">
        <v>18.939110070257613</v>
      </c>
      <c r="D39" s="15">
        <f t="shared" si="5"/>
        <v>16.075835536306268</v>
      </c>
      <c r="E39" s="1">
        <f t="shared" si="6"/>
        <v>2.8632745339513441</v>
      </c>
      <c r="AD39">
        <v>7</v>
      </c>
      <c r="AE39">
        <f t="shared" si="7"/>
        <v>-1.2160349134175341</v>
      </c>
      <c r="AF39">
        <f t="shared" si="8"/>
        <v>0.21900826446280991</v>
      </c>
      <c r="AG39">
        <f t="shared" si="9"/>
        <v>-0.77554695832237774</v>
      </c>
    </row>
    <row r="40" spans="1:33" x14ac:dyDescent="0.25">
      <c r="A40">
        <v>8</v>
      </c>
      <c r="B40" s="5">
        <v>48376</v>
      </c>
      <c r="C40" s="3">
        <v>16.607279693486589</v>
      </c>
      <c r="D40" s="15">
        <f t="shared" si="5"/>
        <v>15.779148962715139</v>
      </c>
      <c r="E40" s="1">
        <f t="shared" si="6"/>
        <v>0.82813073077145027</v>
      </c>
      <c r="AD40">
        <v>8</v>
      </c>
      <c r="AE40">
        <f t="shared" si="7"/>
        <v>-1.1959683483435022</v>
      </c>
      <c r="AF40">
        <f t="shared" si="8"/>
        <v>0.25206611570247933</v>
      </c>
      <c r="AG40">
        <f t="shared" si="9"/>
        <v>-0.66800213226957372</v>
      </c>
    </row>
    <row r="41" spans="1:33" x14ac:dyDescent="0.25">
      <c r="A41">
        <v>9</v>
      </c>
      <c r="B41" s="5">
        <v>49992</v>
      </c>
      <c r="C41" s="3">
        <v>14.943127962085308</v>
      </c>
      <c r="D41" s="15">
        <f t="shared" si="5"/>
        <v>15.974442446594271</v>
      </c>
      <c r="E41" s="1">
        <f t="shared" si="6"/>
        <v>-1.0313144845089628</v>
      </c>
      <c r="AD41">
        <v>9</v>
      </c>
      <c r="AE41">
        <f t="shared" si="7"/>
        <v>-1.0313144845089628</v>
      </c>
      <c r="AF41">
        <f t="shared" si="8"/>
        <v>0.28512396694214875</v>
      </c>
      <c r="AG41">
        <f t="shared" si="9"/>
        <v>-0.56768639112746011</v>
      </c>
    </row>
    <row r="42" spans="1:33" x14ac:dyDescent="0.25">
      <c r="A42">
        <v>10</v>
      </c>
      <c r="B42" s="5">
        <v>45368</v>
      </c>
      <c r="C42" s="3">
        <v>15.847619047619048</v>
      </c>
      <c r="D42" s="15">
        <f t="shared" si="5"/>
        <v>15.415632378860913</v>
      </c>
      <c r="E42" s="1">
        <f t="shared" si="6"/>
        <v>0.43198666875813529</v>
      </c>
      <c r="AD42">
        <v>10</v>
      </c>
      <c r="AE42">
        <f t="shared" si="7"/>
        <v>-0.92669032564366738</v>
      </c>
      <c r="AF42">
        <f t="shared" si="8"/>
        <v>0.31818181818181818</v>
      </c>
      <c r="AG42">
        <f t="shared" si="9"/>
        <v>-0.47278912099226744</v>
      </c>
    </row>
    <row r="43" spans="1:33" x14ac:dyDescent="0.25">
      <c r="A43">
        <v>11</v>
      </c>
      <c r="B43" s="5">
        <v>47169</v>
      </c>
      <c r="C43" s="3">
        <v>14.41095890410959</v>
      </c>
      <c r="D43" s="15">
        <f t="shared" si="5"/>
        <v>15.633283099446505</v>
      </c>
      <c r="E43" s="1">
        <f t="shared" si="6"/>
        <v>-1.2223241953369151</v>
      </c>
      <c r="AD43">
        <v>11</v>
      </c>
      <c r="AE43">
        <f t="shared" si="7"/>
        <v>-0.62369648292092705</v>
      </c>
      <c r="AF43">
        <f t="shared" si="8"/>
        <v>0.3512396694214876</v>
      </c>
      <c r="AG43">
        <f t="shared" si="9"/>
        <v>-0.38197576769654212</v>
      </c>
    </row>
    <row r="44" spans="1:33" x14ac:dyDescent="0.25">
      <c r="A44">
        <v>12</v>
      </c>
      <c r="B44" s="5">
        <v>51145</v>
      </c>
      <c r="C44" s="3">
        <v>16.505050505050505</v>
      </c>
      <c r="D44" s="15">
        <f t="shared" si="5"/>
        <v>16.113782413743181</v>
      </c>
      <c r="E44" s="1">
        <f t="shared" si="6"/>
        <v>0.39126809130732454</v>
      </c>
      <c r="AD44">
        <v>12</v>
      </c>
      <c r="AE44">
        <f t="shared" si="7"/>
        <v>-0.2617824062896652</v>
      </c>
      <c r="AF44">
        <f t="shared" si="8"/>
        <v>0.38429752066115702</v>
      </c>
      <c r="AG44">
        <f t="shared" si="9"/>
        <v>-0.29421313893092133</v>
      </c>
    </row>
    <row r="45" spans="1:33" x14ac:dyDescent="0.25">
      <c r="A45">
        <v>13</v>
      </c>
      <c r="B45" s="5">
        <v>53487</v>
      </c>
      <c r="C45" s="3">
        <v>15.180778032036613</v>
      </c>
      <c r="D45" s="15">
        <f t="shared" si="5"/>
        <v>16.396812945454148</v>
      </c>
      <c r="E45" s="1">
        <f t="shared" si="6"/>
        <v>-1.2160349134175341</v>
      </c>
      <c r="AD45">
        <v>13</v>
      </c>
      <c r="AE45">
        <f t="shared" si="7"/>
        <v>-0.21956898403323422</v>
      </c>
      <c r="AF45">
        <f t="shared" si="8"/>
        <v>0.41735537190082644</v>
      </c>
      <c r="AG45">
        <f t="shared" si="9"/>
        <v>-0.20866374575115462</v>
      </c>
    </row>
    <row r="46" spans="1:33" x14ac:dyDescent="0.25">
      <c r="A46">
        <v>14</v>
      </c>
      <c r="B46" s="5">
        <v>50216</v>
      </c>
      <c r="C46" s="3">
        <v>13.717391304347826</v>
      </c>
      <c r="D46" s="15">
        <f t="shared" si="5"/>
        <v>16.001512830498307</v>
      </c>
      <c r="E46" s="1">
        <f t="shared" si="6"/>
        <v>-2.2841215261504804</v>
      </c>
      <c r="AD46">
        <v>14</v>
      </c>
      <c r="AE46">
        <f t="shared" si="7"/>
        <v>-0.1967400280433651</v>
      </c>
      <c r="AF46">
        <f t="shared" si="8"/>
        <v>0.45041322314049587</v>
      </c>
      <c r="AG46">
        <f t="shared" si="9"/>
        <v>-0.12461740794799793</v>
      </c>
    </row>
    <row r="47" spans="1:33" x14ac:dyDescent="0.25">
      <c r="A47">
        <v>15</v>
      </c>
      <c r="B47" s="5">
        <v>39270</v>
      </c>
      <c r="C47" s="3">
        <v>11.772727272727273</v>
      </c>
      <c r="D47" s="15">
        <f t="shared" si="5"/>
        <v>14.678689517044736</v>
      </c>
      <c r="E47" s="1">
        <f t="shared" si="6"/>
        <v>-2.9059622443174629</v>
      </c>
      <c r="AD47">
        <v>15</v>
      </c>
      <c r="AE47">
        <f t="shared" si="7"/>
        <v>-0.14711269556607753</v>
      </c>
      <c r="AF47">
        <f t="shared" si="8"/>
        <v>0.48347107438016529</v>
      </c>
      <c r="AG47">
        <f t="shared" si="9"/>
        <v>-4.1443733093996599E-2</v>
      </c>
    </row>
    <row r="48" spans="1:33" x14ac:dyDescent="0.25">
      <c r="A48">
        <v>16</v>
      </c>
      <c r="B48" s="5">
        <v>45687</v>
      </c>
      <c r="C48" s="3">
        <v>13.456140350877194</v>
      </c>
      <c r="D48" s="15">
        <f t="shared" si="5"/>
        <v>15.45418350593854</v>
      </c>
      <c r="E48" s="1">
        <f t="shared" si="6"/>
        <v>-1.998043155061346</v>
      </c>
      <c r="AD48">
        <v>16</v>
      </c>
      <c r="AE48">
        <f t="shared" si="7"/>
        <v>-3.033764634288616E-3</v>
      </c>
      <c r="AF48">
        <f t="shared" si="8"/>
        <v>0.51652892561983466</v>
      </c>
      <c r="AG48">
        <f t="shared" si="9"/>
        <v>4.1443733093996467E-2</v>
      </c>
    </row>
    <row r="49" spans="1:33" x14ac:dyDescent="0.25">
      <c r="A49">
        <v>17</v>
      </c>
      <c r="B49" s="5">
        <v>46099</v>
      </c>
      <c r="C49" s="3">
        <v>17.547794117647058</v>
      </c>
      <c r="D49" s="15">
        <f t="shared" si="5"/>
        <v>15.503973676333466</v>
      </c>
      <c r="E49" s="1">
        <f t="shared" si="6"/>
        <v>2.0438204413135921</v>
      </c>
      <c r="AD49">
        <v>17</v>
      </c>
      <c r="AE49">
        <f t="shared" si="7"/>
        <v>0.39126809130732454</v>
      </c>
      <c r="AF49">
        <f t="shared" si="8"/>
        <v>0.54958677685950408</v>
      </c>
      <c r="AG49">
        <f t="shared" si="9"/>
        <v>0.12461740794799776</v>
      </c>
    </row>
    <row r="50" spans="1:33" x14ac:dyDescent="0.25">
      <c r="A50">
        <v>18</v>
      </c>
      <c r="B50" s="5">
        <v>48109</v>
      </c>
      <c r="C50" s="3">
        <v>16.304878048780488</v>
      </c>
      <c r="D50" s="15">
        <f t="shared" si="5"/>
        <v>15.746882031900951</v>
      </c>
      <c r="E50" s="1">
        <f t="shared" si="6"/>
        <v>0.55799601687953704</v>
      </c>
      <c r="AD50">
        <v>18</v>
      </c>
      <c r="AE50">
        <f t="shared" si="7"/>
        <v>0.43198666875813529</v>
      </c>
      <c r="AF50">
        <f t="shared" si="8"/>
        <v>0.5826446280991735</v>
      </c>
      <c r="AG50">
        <f t="shared" si="9"/>
        <v>0.20866374575115446</v>
      </c>
    </row>
    <row r="51" spans="1:33" x14ac:dyDescent="0.25">
      <c r="A51">
        <v>19</v>
      </c>
      <c r="B51" s="5">
        <v>42562</v>
      </c>
      <c r="C51" s="3">
        <v>16.110294117647058</v>
      </c>
      <c r="D51" s="15">
        <f t="shared" si="5"/>
        <v>15.076527480491581</v>
      </c>
      <c r="E51" s="1">
        <f t="shared" si="6"/>
        <v>1.0337666371554768</v>
      </c>
      <c r="AD51">
        <v>19</v>
      </c>
      <c r="AE51">
        <f t="shared" si="7"/>
        <v>0.4667799036842819</v>
      </c>
      <c r="AF51">
        <f t="shared" si="8"/>
        <v>0.61570247933884292</v>
      </c>
      <c r="AG51">
        <f t="shared" si="9"/>
        <v>0.29421313893092121</v>
      </c>
    </row>
    <row r="52" spans="1:33" x14ac:dyDescent="0.25">
      <c r="A52">
        <v>20</v>
      </c>
      <c r="B52" s="5">
        <v>56941</v>
      </c>
      <c r="C52" s="3">
        <v>17.514285714285716</v>
      </c>
      <c r="D52" s="15">
        <f t="shared" si="5"/>
        <v>16.814228597260161</v>
      </c>
      <c r="E52" s="1">
        <f t="shared" si="6"/>
        <v>0.70005711702555473</v>
      </c>
      <c r="AD52">
        <v>20</v>
      </c>
      <c r="AE52">
        <f t="shared" si="7"/>
        <v>0.55799601687953704</v>
      </c>
      <c r="AF52">
        <f t="shared" si="8"/>
        <v>0.64876033057851235</v>
      </c>
      <c r="AG52">
        <f t="shared" si="9"/>
        <v>0.38197576769654196</v>
      </c>
    </row>
    <row r="53" spans="1:33" x14ac:dyDescent="0.25">
      <c r="A53">
        <v>21</v>
      </c>
      <c r="B53" s="5">
        <v>43300</v>
      </c>
      <c r="C53" s="3">
        <v>17.384236453201972</v>
      </c>
      <c r="D53" s="15">
        <f t="shared" si="5"/>
        <v>15.165714727461134</v>
      </c>
      <c r="E53" s="1">
        <f t="shared" si="6"/>
        <v>2.2185217257408372</v>
      </c>
      <c r="AD53">
        <v>21</v>
      </c>
      <c r="AE53">
        <f t="shared" si="7"/>
        <v>0.70005711702555473</v>
      </c>
      <c r="AF53">
        <f t="shared" si="8"/>
        <v>0.68181818181818177</v>
      </c>
      <c r="AG53">
        <f t="shared" si="9"/>
        <v>0.47278912099226728</v>
      </c>
    </row>
    <row r="54" spans="1:33" x14ac:dyDescent="0.25">
      <c r="A54">
        <v>22</v>
      </c>
      <c r="B54" s="5">
        <v>47331</v>
      </c>
      <c r="C54" s="3">
        <v>16.691056910569106</v>
      </c>
      <c r="D54" s="15">
        <f t="shared" si="5"/>
        <v>15.652860787805675</v>
      </c>
      <c r="E54" s="1">
        <f t="shared" si="6"/>
        <v>1.0381961227634307</v>
      </c>
      <c r="AD54">
        <v>22</v>
      </c>
      <c r="AE54">
        <f t="shared" si="7"/>
        <v>0.82813073077145027</v>
      </c>
      <c r="AF54">
        <f t="shared" si="8"/>
        <v>0.71487603305785119</v>
      </c>
      <c r="AG54">
        <f t="shared" si="9"/>
        <v>0.56768639112745989</v>
      </c>
    </row>
    <row r="55" spans="1:33" x14ac:dyDescent="0.25">
      <c r="A55">
        <v>23</v>
      </c>
      <c r="B55" s="5">
        <v>45485</v>
      </c>
      <c r="C55" s="3">
        <v>15.896551724137931</v>
      </c>
      <c r="D55" s="15">
        <f t="shared" si="5"/>
        <v>15.429771820453649</v>
      </c>
      <c r="E55" s="1">
        <f t="shared" si="6"/>
        <v>0.4667799036842819</v>
      </c>
      <c r="AD55">
        <v>23</v>
      </c>
      <c r="AE55">
        <f t="shared" si="7"/>
        <v>1.0337666371554768</v>
      </c>
      <c r="AF55">
        <f t="shared" si="8"/>
        <v>0.74793388429752061</v>
      </c>
      <c r="AG55">
        <f t="shared" si="9"/>
        <v>0.6680021322695735</v>
      </c>
    </row>
    <row r="56" spans="1:33" x14ac:dyDescent="0.25">
      <c r="A56">
        <v>24</v>
      </c>
      <c r="B56" s="5">
        <v>47220</v>
      </c>
      <c r="C56" s="3">
        <v>18.835443037974684</v>
      </c>
      <c r="D56" s="15">
        <f t="shared" si="5"/>
        <v>15.6394464457818</v>
      </c>
      <c r="E56" s="1">
        <f t="shared" si="6"/>
        <v>3.1959965921928841</v>
      </c>
      <c r="AD56">
        <v>24</v>
      </c>
      <c r="AE56">
        <f t="shared" si="7"/>
        <v>1.0381961227634307</v>
      </c>
      <c r="AF56">
        <f t="shared" si="8"/>
        <v>0.78099173553719003</v>
      </c>
      <c r="AG56">
        <f t="shared" si="9"/>
        <v>0.77554695832237797</v>
      </c>
    </row>
    <row r="57" spans="1:33" x14ac:dyDescent="0.25">
      <c r="A57">
        <v>25</v>
      </c>
      <c r="B57" s="5">
        <v>45860</v>
      </c>
      <c r="C57" s="3">
        <v>15.278350515463918</v>
      </c>
      <c r="D57" s="15">
        <f t="shared" si="5"/>
        <v>15.475090543507283</v>
      </c>
      <c r="E57" s="1">
        <f t="shared" si="6"/>
        <v>-0.1967400280433651</v>
      </c>
      <c r="AD57">
        <v>25</v>
      </c>
      <c r="AE57">
        <f t="shared" si="7"/>
        <v>1.1342234364114532</v>
      </c>
      <c r="AF57">
        <f t="shared" si="8"/>
        <v>0.81404958677685946</v>
      </c>
      <c r="AG57">
        <f t="shared" si="9"/>
        <v>0.89291848644439464</v>
      </c>
    </row>
    <row r="58" spans="1:33" x14ac:dyDescent="0.25">
      <c r="A58">
        <v>26</v>
      </c>
      <c r="B58" s="5">
        <v>47051</v>
      </c>
      <c r="C58" s="3">
        <v>15.47191011235955</v>
      </c>
      <c r="D58" s="15">
        <f t="shared" si="5"/>
        <v>15.619022807925628</v>
      </c>
      <c r="E58" s="1">
        <f t="shared" si="6"/>
        <v>-0.14711269556607753</v>
      </c>
      <c r="AD58">
        <v>26</v>
      </c>
      <c r="AE58">
        <f t="shared" si="7"/>
        <v>2.0438204413135921</v>
      </c>
      <c r="AF58">
        <f t="shared" si="8"/>
        <v>0.84710743801652888</v>
      </c>
      <c r="AG58">
        <f t="shared" si="9"/>
        <v>1.0241061837416219</v>
      </c>
    </row>
    <row r="59" spans="1:33" x14ac:dyDescent="0.25">
      <c r="A59">
        <v>27</v>
      </c>
      <c r="B59" s="5">
        <v>67738</v>
      </c>
      <c r="C59" s="3">
        <v>16.923076923076923</v>
      </c>
      <c r="D59" s="15">
        <f t="shared" si="5"/>
        <v>18.119045271420426</v>
      </c>
      <c r="E59" s="1">
        <f t="shared" si="6"/>
        <v>-1.1959683483435022</v>
      </c>
      <c r="AD59">
        <v>27</v>
      </c>
      <c r="AE59">
        <f t="shared" si="7"/>
        <v>2.1973738297725625</v>
      </c>
      <c r="AF59">
        <f t="shared" si="8"/>
        <v>0.8801652892561983</v>
      </c>
      <c r="AG59">
        <f t="shared" si="9"/>
        <v>1.1758134725500289</v>
      </c>
    </row>
    <row r="60" spans="1:33" x14ac:dyDescent="0.25">
      <c r="A60">
        <v>28</v>
      </c>
      <c r="B60" s="5">
        <v>40175</v>
      </c>
      <c r="C60" s="3">
        <v>11.984375</v>
      </c>
      <c r="D60" s="15">
        <f t="shared" si="5"/>
        <v>14.788058702014176</v>
      </c>
      <c r="E60" s="1">
        <f t="shared" si="6"/>
        <v>-2.803683702014176</v>
      </c>
      <c r="AD60">
        <v>28</v>
      </c>
      <c r="AE60">
        <f t="shared" si="7"/>
        <v>2.2185217257408372</v>
      </c>
      <c r="AF60">
        <f t="shared" si="8"/>
        <v>0.91322314049586772</v>
      </c>
      <c r="AG60">
        <f t="shared" si="9"/>
        <v>1.3608733428671862</v>
      </c>
    </row>
    <row r="61" spans="1:33" x14ac:dyDescent="0.25">
      <c r="A61">
        <v>29</v>
      </c>
      <c r="B61" s="5">
        <v>47421</v>
      </c>
      <c r="C61" s="3">
        <v>17.861111111111111</v>
      </c>
      <c r="D61" s="15">
        <f t="shared" si="5"/>
        <v>15.663737281338548</v>
      </c>
      <c r="E61" s="1">
        <f t="shared" si="6"/>
        <v>2.1973738297725625</v>
      </c>
      <c r="AD61">
        <v>29</v>
      </c>
      <c r="AE61">
        <f t="shared" si="7"/>
        <v>2.8632745339513441</v>
      </c>
      <c r="AF61">
        <f t="shared" si="8"/>
        <v>0.94628099173553715</v>
      </c>
      <c r="AG61">
        <f t="shared" si="9"/>
        <v>1.6098160671844477</v>
      </c>
    </row>
    <row r="62" spans="1:33" x14ac:dyDescent="0.25">
      <c r="A62">
        <v>30</v>
      </c>
      <c r="B62" s="5">
        <v>45961</v>
      </c>
      <c r="C62" s="3">
        <v>14.560606060606061</v>
      </c>
      <c r="D62" s="15">
        <f t="shared" si="5"/>
        <v>15.487296386249728</v>
      </c>
      <c r="E62" s="1">
        <f t="shared" si="6"/>
        <v>-0.92669032564366738</v>
      </c>
      <c r="AD62">
        <v>30</v>
      </c>
      <c r="AE62">
        <f t="shared" si="7"/>
        <v>3.1959965921928841</v>
      </c>
      <c r="AF62">
        <f t="shared" si="8"/>
        <v>0.97933884297520657</v>
      </c>
      <c r="AG62">
        <f t="shared" si="9"/>
        <v>2.0402813220104106</v>
      </c>
    </row>
    <row r="63" spans="1:33" x14ac:dyDescent="0.25">
      <c r="B63" s="5"/>
      <c r="C63" s="3"/>
      <c r="D63" s="15"/>
      <c r="E63" s="1"/>
    </row>
    <row r="64" spans="1:33" x14ac:dyDescent="0.25">
      <c r="B64" s="5"/>
      <c r="C64" s="3"/>
      <c r="D64" s="15"/>
      <c r="E64" s="1"/>
    </row>
    <row r="65" spans="1:33" x14ac:dyDescent="0.25">
      <c r="B65" t="s">
        <v>167</v>
      </c>
      <c r="C65">
        <f>INTERCEPT(B69:B98,A69:A98)</f>
        <v>-246224181.91298705</v>
      </c>
      <c r="D65" s="15"/>
      <c r="E65" s="1"/>
    </row>
    <row r="66" spans="1:33" x14ac:dyDescent="0.25">
      <c r="B66" t="s">
        <v>88</v>
      </c>
      <c r="C66">
        <f>SLOPE(B69:B98,A69:A98)</f>
        <v>137268.84636363637</v>
      </c>
    </row>
    <row r="67" spans="1:33" x14ac:dyDescent="0.25">
      <c r="A67" t="s">
        <v>14</v>
      </c>
      <c r="C67" t="s">
        <v>168</v>
      </c>
    </row>
    <row r="68" spans="1:33" x14ac:dyDescent="0.25">
      <c r="A68" s="6" t="s">
        <v>3</v>
      </c>
      <c r="B68" s="9" t="s">
        <v>4</v>
      </c>
      <c r="C68" s="50" t="s">
        <v>79</v>
      </c>
      <c r="D68" s="50" t="s">
        <v>83</v>
      </c>
      <c r="AD68" t="s">
        <v>191</v>
      </c>
    </row>
    <row r="69" spans="1:33" x14ac:dyDescent="0.25">
      <c r="A69" s="6">
        <v>1790</v>
      </c>
      <c r="B69" s="8">
        <v>1307417</v>
      </c>
      <c r="C69" s="50">
        <f>$C$65+$C$66*A69</f>
        <v>-512946.92207795382</v>
      </c>
      <c r="D69" s="50">
        <f>B69-C69</f>
        <v>1820363.9220779538</v>
      </c>
      <c r="AD69" t="s">
        <v>192</v>
      </c>
      <c r="AE69" t="s">
        <v>193</v>
      </c>
      <c r="AF69" t="s">
        <v>194</v>
      </c>
      <c r="AG69" t="s">
        <v>195</v>
      </c>
    </row>
    <row r="70" spans="1:33" x14ac:dyDescent="0.25">
      <c r="A70" s="6">
        <v>1800</v>
      </c>
      <c r="B70" s="8">
        <v>2003250</v>
      </c>
      <c r="C70" s="50">
        <f t="shared" ref="C70:C89" si="10">$C$65+$C$66*A70</f>
        <v>859741.5415584147</v>
      </c>
      <c r="D70" s="50">
        <f t="shared" ref="D70:D89" si="11">B70-C70</f>
        <v>1143508.4584415853</v>
      </c>
      <c r="AD70">
        <v>1</v>
      </c>
      <c r="AE70">
        <f>SMALL($D$69:$D$89,AD70)</f>
        <v>-9742746.5688311458</v>
      </c>
      <c r="AF70">
        <f>(AD70-3/8)/($AD$90+0.25)</f>
        <v>2.9411764705882353E-2</v>
      </c>
      <c r="AG70">
        <f>NORMINV(AF70,0,1)</f>
        <v>-1.8895099603334302</v>
      </c>
    </row>
    <row r="71" spans="1:33" x14ac:dyDescent="0.25">
      <c r="A71" s="6">
        <v>1810</v>
      </c>
      <c r="B71" s="8">
        <v>2398572</v>
      </c>
      <c r="C71" s="50">
        <f t="shared" si="10"/>
        <v>2232430.0051947832</v>
      </c>
      <c r="D71" s="50">
        <f t="shared" si="11"/>
        <v>166141.99480521679</v>
      </c>
      <c r="AD71">
        <v>2</v>
      </c>
      <c r="AE71">
        <f t="shared" ref="AE71:AE90" si="12">SMALL($D$69:$D$89,AD71)</f>
        <v>-3404065.8870129585</v>
      </c>
      <c r="AF71">
        <f t="shared" ref="AF71:AF90" si="13">(AD71-3/8)/($AD$90+0.25)</f>
        <v>7.6470588235294124E-2</v>
      </c>
      <c r="AG71">
        <f t="shared" ref="AG71:AG90" si="14">NORMINV(AF71,0,1)</f>
        <v>-1.4292194242710623</v>
      </c>
    </row>
    <row r="72" spans="1:33" x14ac:dyDescent="0.25">
      <c r="A72" s="6">
        <v>1820</v>
      </c>
      <c r="B72" s="8">
        <v>3227567</v>
      </c>
      <c r="C72" s="50">
        <f t="shared" si="10"/>
        <v>3605118.4688311517</v>
      </c>
      <c r="D72" s="50">
        <f t="shared" si="11"/>
        <v>-377551.46883115172</v>
      </c>
      <c r="AD72">
        <v>3</v>
      </c>
      <c r="AE72">
        <f t="shared" si="12"/>
        <v>-2166273.6415584087</v>
      </c>
      <c r="AF72">
        <f t="shared" si="13"/>
        <v>0.12352941176470589</v>
      </c>
      <c r="AG72">
        <f t="shared" si="14"/>
        <v>-1.1575228149633465</v>
      </c>
    </row>
    <row r="73" spans="1:33" x14ac:dyDescent="0.25">
      <c r="A73" s="6">
        <v>1830</v>
      </c>
      <c r="B73" s="8">
        <v>4203433</v>
      </c>
      <c r="C73" s="50">
        <f t="shared" si="10"/>
        <v>4977806.9324675202</v>
      </c>
      <c r="D73" s="50">
        <f t="shared" si="11"/>
        <v>-774373.93246752024</v>
      </c>
      <c r="AD73">
        <v>4</v>
      </c>
      <c r="AE73">
        <f t="shared" si="12"/>
        <v>-1980822.323376596</v>
      </c>
      <c r="AF73">
        <f t="shared" si="13"/>
        <v>0.17058823529411765</v>
      </c>
      <c r="AG73">
        <f t="shared" si="14"/>
        <v>-0.9518432764036362</v>
      </c>
    </row>
    <row r="74" spans="1:33" x14ac:dyDescent="0.25">
      <c r="A74" s="6">
        <v>1840</v>
      </c>
      <c r="B74" s="8">
        <v>6122423</v>
      </c>
      <c r="C74" s="50">
        <f t="shared" si="10"/>
        <v>6350495.3961038888</v>
      </c>
      <c r="D74" s="50">
        <f t="shared" si="11"/>
        <v>-228072.39610388875</v>
      </c>
      <c r="AD74">
        <v>5</v>
      </c>
      <c r="AE74">
        <f t="shared" si="12"/>
        <v>-916151.03246751428</v>
      </c>
      <c r="AF74">
        <f t="shared" si="13"/>
        <v>0.21764705882352942</v>
      </c>
      <c r="AG74">
        <f t="shared" si="14"/>
        <v>-0.78016439360297296</v>
      </c>
    </row>
    <row r="75" spans="1:33" x14ac:dyDescent="0.25">
      <c r="A75" s="6">
        <v>1850</v>
      </c>
      <c r="B75" s="8">
        <v>8251445</v>
      </c>
      <c r="C75" s="50">
        <f t="shared" si="10"/>
        <v>7723183.8597402275</v>
      </c>
      <c r="D75" s="50">
        <f t="shared" si="11"/>
        <v>528261.14025977254</v>
      </c>
      <c r="AD75">
        <v>6</v>
      </c>
      <c r="AE75">
        <f t="shared" si="12"/>
        <v>-861566.42337661982</v>
      </c>
      <c r="AF75">
        <f t="shared" si="13"/>
        <v>0.26470588235294118</v>
      </c>
      <c r="AG75">
        <f t="shared" si="14"/>
        <v>-0.62890421763218984</v>
      </c>
    </row>
    <row r="76" spans="1:33" x14ac:dyDescent="0.25">
      <c r="A76" s="6">
        <v>1860</v>
      </c>
      <c r="B76" s="8">
        <v>7115050</v>
      </c>
      <c r="C76" s="50">
        <f t="shared" si="10"/>
        <v>9095872.323376596</v>
      </c>
      <c r="D76" s="50">
        <f t="shared" si="11"/>
        <v>-1980822.323376596</v>
      </c>
      <c r="AD76">
        <v>7</v>
      </c>
      <c r="AE76">
        <f t="shared" si="12"/>
        <v>-774373.93246752024</v>
      </c>
      <c r="AF76">
        <f t="shared" si="13"/>
        <v>0.31176470588235294</v>
      </c>
      <c r="AG76">
        <f t="shared" si="14"/>
        <v>-0.49085442701124643</v>
      </c>
    </row>
    <row r="77" spans="1:33" x14ac:dyDescent="0.25">
      <c r="A77" s="6">
        <v>1870</v>
      </c>
      <c r="B77" s="8">
        <v>10812969</v>
      </c>
      <c r="C77" s="50">
        <f t="shared" si="10"/>
        <v>10468560.787012964</v>
      </c>
      <c r="D77" s="50">
        <f t="shared" si="11"/>
        <v>344408.21298703551</v>
      </c>
      <c r="AD77">
        <v>8</v>
      </c>
      <c r="AE77">
        <f t="shared" si="12"/>
        <v>-377551.46883115172</v>
      </c>
      <c r="AF77">
        <f t="shared" si="13"/>
        <v>0.35882352941176471</v>
      </c>
      <c r="AG77">
        <f t="shared" si="14"/>
        <v>-0.36160522598516831</v>
      </c>
    </row>
    <row r="78" spans="1:33" x14ac:dyDescent="0.25">
      <c r="A78" s="6">
        <v>1880</v>
      </c>
      <c r="B78" s="8">
        <v>13608426</v>
      </c>
      <c r="C78" s="50">
        <f t="shared" si="10"/>
        <v>11841249.250649333</v>
      </c>
      <c r="D78" s="50">
        <f t="shared" si="11"/>
        <v>1767176.749350667</v>
      </c>
      <c r="AD78">
        <v>9</v>
      </c>
      <c r="AE78">
        <f t="shared" si="12"/>
        <v>-228072.39610388875</v>
      </c>
      <c r="AF78">
        <f t="shared" si="13"/>
        <v>0.40588235294117647</v>
      </c>
      <c r="AG78">
        <f t="shared" si="14"/>
        <v>-0.2381500642297697</v>
      </c>
    </row>
    <row r="79" spans="1:33" x14ac:dyDescent="0.25">
      <c r="A79" s="6">
        <v>1890</v>
      </c>
      <c r="B79" s="8">
        <v>13232402</v>
      </c>
      <c r="C79" s="50">
        <f t="shared" si="10"/>
        <v>13213937.714285702</v>
      </c>
      <c r="D79" s="50">
        <f t="shared" si="11"/>
        <v>18464.285714298487</v>
      </c>
      <c r="AD79">
        <v>10</v>
      </c>
      <c r="AE79">
        <f t="shared" si="12"/>
        <v>-150916.10519477725</v>
      </c>
      <c r="AF79">
        <f t="shared" si="13"/>
        <v>0.45294117647058824</v>
      </c>
      <c r="AG79">
        <f t="shared" si="14"/>
        <v>-0.11823387106613359</v>
      </c>
    </row>
    <row r="80" spans="1:33" x14ac:dyDescent="0.25">
      <c r="A80" s="6">
        <v>1900</v>
      </c>
      <c r="B80" s="8">
        <v>16016328</v>
      </c>
      <c r="C80" s="50">
        <f t="shared" si="10"/>
        <v>14586626.17792207</v>
      </c>
      <c r="D80" s="50">
        <f t="shared" si="11"/>
        <v>1429701.82207793</v>
      </c>
      <c r="AD80">
        <v>11</v>
      </c>
      <c r="AE80">
        <f t="shared" si="12"/>
        <v>18464.285714298487</v>
      </c>
      <c r="AF80">
        <f t="shared" si="13"/>
        <v>0.5</v>
      </c>
      <c r="AG80">
        <f t="shared" si="14"/>
        <v>0</v>
      </c>
    </row>
    <row r="81" spans="1:33" x14ac:dyDescent="0.25">
      <c r="A81" s="6">
        <v>1910</v>
      </c>
      <c r="B81" s="8">
        <v>13793041</v>
      </c>
      <c r="C81" s="50">
        <f t="shared" si="10"/>
        <v>15959314.641558409</v>
      </c>
      <c r="D81" s="50">
        <f t="shared" si="11"/>
        <v>-2166273.6415584087</v>
      </c>
      <c r="AD81">
        <v>12</v>
      </c>
      <c r="AE81">
        <f t="shared" si="12"/>
        <v>166141.99480521679</v>
      </c>
      <c r="AF81">
        <f t="shared" si="13"/>
        <v>0.54705882352941182</v>
      </c>
      <c r="AG81">
        <f t="shared" si="14"/>
        <v>0.11823387106613373</v>
      </c>
    </row>
    <row r="82" spans="1:33" x14ac:dyDescent="0.25">
      <c r="A82" s="6">
        <v>1920</v>
      </c>
      <c r="B82" s="8">
        <v>17181087</v>
      </c>
      <c r="C82" s="50">
        <f t="shared" si="10"/>
        <v>17332003.105194777</v>
      </c>
      <c r="D82" s="50">
        <f t="shared" si="11"/>
        <v>-150916.10519477725</v>
      </c>
      <c r="AD82">
        <v>13</v>
      </c>
      <c r="AE82">
        <f t="shared" si="12"/>
        <v>344408.21298703551</v>
      </c>
      <c r="AF82">
        <f t="shared" si="13"/>
        <v>0.59411764705882353</v>
      </c>
      <c r="AG82">
        <f t="shared" si="14"/>
        <v>0.2381500642297697</v>
      </c>
    </row>
    <row r="83" spans="1:33" x14ac:dyDescent="0.25">
      <c r="A83" s="6">
        <v>1930</v>
      </c>
      <c r="B83" s="8">
        <v>8961945</v>
      </c>
      <c r="C83" s="50">
        <f t="shared" si="10"/>
        <v>18704691.568831146</v>
      </c>
      <c r="D83" s="50">
        <f t="shared" si="11"/>
        <v>-9742746.5688311458</v>
      </c>
      <c r="AD83">
        <v>14</v>
      </c>
      <c r="AE83">
        <f t="shared" si="12"/>
        <v>528261.14025977254</v>
      </c>
      <c r="AF83">
        <f t="shared" si="13"/>
        <v>0.64117647058823535</v>
      </c>
      <c r="AG83">
        <f t="shared" si="14"/>
        <v>0.36160522598516848</v>
      </c>
    </row>
    <row r="84" spans="1:33" x14ac:dyDescent="0.25">
      <c r="A84" s="6">
        <v>1940</v>
      </c>
      <c r="B84" s="8">
        <v>19161229</v>
      </c>
      <c r="C84" s="50">
        <f t="shared" si="10"/>
        <v>20077380.032467514</v>
      </c>
      <c r="D84" s="50">
        <f t="shared" si="11"/>
        <v>-916151.03246751428</v>
      </c>
      <c r="AD84">
        <v>15</v>
      </c>
      <c r="AE84">
        <f t="shared" si="12"/>
        <v>1065994.0402597785</v>
      </c>
      <c r="AF84">
        <f t="shared" si="13"/>
        <v>0.68823529411764706</v>
      </c>
      <c r="AG84">
        <f t="shared" si="14"/>
        <v>0.49085442701124643</v>
      </c>
    </row>
    <row r="85" spans="1:33" x14ac:dyDescent="0.25">
      <c r="A85" s="6">
        <v>1950</v>
      </c>
      <c r="B85" s="8">
        <v>27997377</v>
      </c>
      <c r="C85" s="50">
        <f t="shared" si="10"/>
        <v>21450068.496103883</v>
      </c>
      <c r="D85" s="50">
        <f t="shared" si="11"/>
        <v>6547308.5038961172</v>
      </c>
      <c r="AD85">
        <v>16</v>
      </c>
      <c r="AE85">
        <f t="shared" si="12"/>
        <v>1143508.4584415853</v>
      </c>
      <c r="AF85">
        <f t="shared" si="13"/>
        <v>0.73529411764705888</v>
      </c>
      <c r="AG85">
        <f t="shared" si="14"/>
        <v>0.62890421763218995</v>
      </c>
    </row>
    <row r="86" spans="1:33" x14ac:dyDescent="0.25">
      <c r="A86" s="6">
        <v>1960</v>
      </c>
      <c r="B86" s="8">
        <v>23888751</v>
      </c>
      <c r="C86" s="50">
        <f t="shared" si="10"/>
        <v>22822756.959740222</v>
      </c>
      <c r="D86" s="50">
        <f t="shared" si="11"/>
        <v>1065994.0402597785</v>
      </c>
      <c r="AD86">
        <v>17</v>
      </c>
      <c r="AE86">
        <f t="shared" si="12"/>
        <v>1429701.82207793</v>
      </c>
      <c r="AF86">
        <f t="shared" si="13"/>
        <v>0.78235294117647058</v>
      </c>
      <c r="AG86">
        <f t="shared" si="14"/>
        <v>0.78016439360297296</v>
      </c>
    </row>
    <row r="87" spans="1:33" x14ac:dyDescent="0.25">
      <c r="A87" s="6">
        <v>1970</v>
      </c>
      <c r="B87" s="8">
        <v>23333879</v>
      </c>
      <c r="C87" s="50">
        <f t="shared" si="10"/>
        <v>24195445.42337662</v>
      </c>
      <c r="D87" s="50">
        <f t="shared" si="11"/>
        <v>-861566.42337661982</v>
      </c>
      <c r="AD87">
        <v>18</v>
      </c>
      <c r="AE87">
        <f t="shared" si="12"/>
        <v>1767176.749350667</v>
      </c>
      <c r="AF87">
        <f t="shared" si="13"/>
        <v>0.8294117647058824</v>
      </c>
      <c r="AG87">
        <f t="shared" si="14"/>
        <v>0.95184327640363531</v>
      </c>
    </row>
    <row r="88" spans="1:33" x14ac:dyDescent="0.25">
      <c r="A88" s="6">
        <v>1980</v>
      </c>
      <c r="B88" s="8">
        <v>22164068</v>
      </c>
      <c r="C88" s="50">
        <f t="shared" si="10"/>
        <v>25568133.887012959</v>
      </c>
      <c r="D88" s="50">
        <f t="shared" si="11"/>
        <v>-3404065.8870129585</v>
      </c>
      <c r="AD88">
        <v>19</v>
      </c>
      <c r="AE88">
        <f t="shared" si="12"/>
        <v>1820363.9220779538</v>
      </c>
      <c r="AF88">
        <f t="shared" si="13"/>
        <v>0.87647058823529411</v>
      </c>
      <c r="AG88">
        <f t="shared" si="14"/>
        <v>1.1575228149633465</v>
      </c>
    </row>
    <row r="89" spans="1:33" x14ac:dyDescent="0.25">
      <c r="A89" s="6">
        <v>1990</v>
      </c>
      <c r="B89" s="8">
        <v>32712033</v>
      </c>
      <c r="C89" s="50">
        <f t="shared" si="10"/>
        <v>26940822.350649357</v>
      </c>
      <c r="D89" s="50">
        <f t="shared" si="11"/>
        <v>5771210.6493506432</v>
      </c>
      <c r="AD89">
        <v>20</v>
      </c>
      <c r="AE89">
        <f t="shared" si="12"/>
        <v>5771210.6493506432</v>
      </c>
      <c r="AF89">
        <f t="shared" si="13"/>
        <v>0.92352941176470593</v>
      </c>
      <c r="AG89">
        <f t="shared" si="14"/>
        <v>1.4292194242710625</v>
      </c>
    </row>
    <row r="90" spans="1:33" x14ac:dyDescent="0.25">
      <c r="A90" s="6"/>
      <c r="B90" s="7"/>
      <c r="C90" s="8"/>
      <c r="AD90">
        <v>21</v>
      </c>
      <c r="AE90">
        <f t="shared" si="12"/>
        <v>6547308.5038961172</v>
      </c>
      <c r="AF90">
        <f t="shared" si="13"/>
        <v>0.97058823529411764</v>
      </c>
      <c r="AG90">
        <f t="shared" si="14"/>
        <v>1.8895099603334296</v>
      </c>
    </row>
    <row r="93" spans="1:33" x14ac:dyDescent="0.25">
      <c r="A93" t="s">
        <v>76</v>
      </c>
      <c r="D93" t="s">
        <v>121</v>
      </c>
    </row>
    <row r="94" spans="1:33" x14ac:dyDescent="0.25">
      <c r="A94" t="s">
        <v>77</v>
      </c>
      <c r="D94" t="s">
        <v>81</v>
      </c>
    </row>
    <row r="95" spans="1:33" x14ac:dyDescent="0.25">
      <c r="D95">
        <f>INTERCEPT(C100:C111,B100:B111)</f>
        <v>83.267353672410991</v>
      </c>
    </row>
    <row r="96" spans="1:33" x14ac:dyDescent="0.25">
      <c r="D96" t="s">
        <v>82</v>
      </c>
    </row>
    <row r="97" spans="1:33" x14ac:dyDescent="0.25">
      <c r="D97">
        <f>SLOPE(C100:C111,B100:B111)</f>
        <v>0.11737508839231385</v>
      </c>
      <c r="AD97" t="s">
        <v>191</v>
      </c>
    </row>
    <row r="98" spans="1:33" x14ac:dyDescent="0.25">
      <c r="D98" t="s">
        <v>80</v>
      </c>
      <c r="AD98" t="s">
        <v>192</v>
      </c>
      <c r="AE98" t="s">
        <v>193</v>
      </c>
      <c r="AF98" t="s">
        <v>194</v>
      </c>
      <c r="AG98" t="s">
        <v>195</v>
      </c>
    </row>
    <row r="99" spans="1:33" x14ac:dyDescent="0.25">
      <c r="A99" t="s">
        <v>78</v>
      </c>
      <c r="B99" t="s">
        <v>74</v>
      </c>
      <c r="C99" t="s">
        <v>75</v>
      </c>
      <c r="D99" t="s">
        <v>79</v>
      </c>
      <c r="E99" t="s">
        <v>83</v>
      </c>
      <c r="AD99">
        <v>1</v>
      </c>
      <c r="AE99">
        <f>SMALL($E$100:$E$111,AD99)</f>
        <v>-71.772793817546301</v>
      </c>
      <c r="AF99">
        <f>(AD99-3/8)/($AD$110+0.25)</f>
        <v>5.1020408163265307E-2</v>
      </c>
      <c r="AG99">
        <f>NORMINV(AF99,0,1)</f>
        <v>-1.6350392668017106</v>
      </c>
    </row>
    <row r="100" spans="1:33" x14ac:dyDescent="0.25">
      <c r="A100" t="str">
        <f>datagathering!$C$28</f>
        <v>Atlanta</v>
      </c>
      <c r="B100">
        <f>datagathering!$D$28</f>
        <v>576</v>
      </c>
      <c r="C100" s="14">
        <f>datagathering!$E$28</f>
        <v>178</v>
      </c>
      <c r="D100" s="12">
        <f>$D$95+$D$97*B100</f>
        <v>150.87540458638375</v>
      </c>
      <c r="E100" s="22">
        <f>C100-D100</f>
        <v>27.124595413616248</v>
      </c>
      <c r="AD100">
        <v>2</v>
      </c>
      <c r="AE100">
        <f t="shared" ref="AE100:AE110" si="15">SMALL($E$100:$E$111,AD100)</f>
        <v>-61.100907768507057</v>
      </c>
      <c r="AF100">
        <f t="shared" ref="AF100:AF110" si="16">(AD100-3/8)/($AD$110+0.25)</f>
        <v>0.1326530612244898</v>
      </c>
      <c r="AG100">
        <f t="shared" ref="AG100:AG110" si="17">NORMINV(AF100,0,1)</f>
        <v>-1.1139372153566887</v>
      </c>
    </row>
    <row r="101" spans="1:33" x14ac:dyDescent="0.25">
      <c r="A101" t="str">
        <f>datagathering!$C$29</f>
        <v>Boston</v>
      </c>
      <c r="B101">
        <f>datagathering!$D$29</f>
        <v>370</v>
      </c>
      <c r="C101" s="14">
        <f>datagathering!$E$29</f>
        <v>138</v>
      </c>
      <c r="D101" s="12">
        <f t="shared" ref="D101:D111" si="18">$D$95+$D$97*B101</f>
        <v>126.69613637756711</v>
      </c>
      <c r="E101" s="22">
        <f t="shared" ref="E101:E111" si="19">C101-D101</f>
        <v>11.303863622432885</v>
      </c>
      <c r="AD101">
        <v>3</v>
      </c>
      <c r="AE101">
        <f t="shared" si="15"/>
        <v>-12.407691887940217</v>
      </c>
      <c r="AF101">
        <f t="shared" si="16"/>
        <v>0.21428571428571427</v>
      </c>
      <c r="AG101">
        <f t="shared" si="17"/>
        <v>-0.79163860774337469</v>
      </c>
    </row>
    <row r="102" spans="1:33" x14ac:dyDescent="0.25">
      <c r="A102" t="str">
        <f>datagathering!$C$30</f>
        <v>Chicago</v>
      </c>
      <c r="B102">
        <f>datagathering!$D$30</f>
        <v>612</v>
      </c>
      <c r="C102" s="14">
        <f>datagathering!$E$30</f>
        <v>94</v>
      </c>
      <c r="D102" s="12">
        <f t="shared" si="18"/>
        <v>155.10090776850706</v>
      </c>
      <c r="E102" s="22">
        <f t="shared" si="19"/>
        <v>-61.100907768507057</v>
      </c>
      <c r="AD102">
        <v>4</v>
      </c>
      <c r="AE102">
        <f t="shared" si="15"/>
        <v>-7.4512453785583119</v>
      </c>
      <c r="AF102">
        <f t="shared" si="16"/>
        <v>0.29591836734693877</v>
      </c>
      <c r="AG102">
        <f t="shared" si="17"/>
        <v>-0.53617626636580651</v>
      </c>
    </row>
    <row r="103" spans="1:33" x14ac:dyDescent="0.25">
      <c r="A103" t="str">
        <f>datagathering!$C$31</f>
        <v>Dallas/Fort Worth</v>
      </c>
      <c r="B103">
        <f>datagathering!$D$31</f>
        <v>1216</v>
      </c>
      <c r="C103" s="14">
        <f>datagathering!$E$31</f>
        <v>278</v>
      </c>
      <c r="D103" s="12">
        <f t="shared" si="18"/>
        <v>225.99546115746463</v>
      </c>
      <c r="E103" s="22">
        <f t="shared" si="19"/>
        <v>52.004538842535368</v>
      </c>
      <c r="AD103">
        <v>5</v>
      </c>
      <c r="AE103">
        <f t="shared" si="15"/>
        <v>-1.5647364376663973</v>
      </c>
      <c r="AF103">
        <f t="shared" si="16"/>
        <v>0.37755102040816324</v>
      </c>
      <c r="AG103">
        <f t="shared" si="17"/>
        <v>-0.31191905482032528</v>
      </c>
    </row>
    <row r="104" spans="1:33" x14ac:dyDescent="0.25">
      <c r="A104" t="str">
        <f>datagathering!$C$32</f>
        <v>Detroit</v>
      </c>
      <c r="B104">
        <f>datagathering!$D$32</f>
        <v>409</v>
      </c>
      <c r="C104" s="14">
        <f>datagathering!$E$32</f>
        <v>158</v>
      </c>
      <c r="D104" s="12">
        <f t="shared" si="18"/>
        <v>131.27376482486736</v>
      </c>
      <c r="E104" s="22">
        <f t="shared" si="19"/>
        <v>26.726235175132643</v>
      </c>
      <c r="AD104">
        <v>6</v>
      </c>
      <c r="AE104">
        <f t="shared" si="15"/>
        <v>3.3584517628380013</v>
      </c>
      <c r="AF104">
        <f t="shared" si="16"/>
        <v>0.45918367346938777</v>
      </c>
      <c r="AG104">
        <f t="shared" si="17"/>
        <v>-0.10249050769145145</v>
      </c>
    </row>
    <row r="105" spans="1:33" x14ac:dyDescent="0.25">
      <c r="A105" t="str">
        <f>datagathering!$C$33</f>
        <v>Denver</v>
      </c>
      <c r="B105">
        <f>datagathering!$D$33</f>
        <v>1502</v>
      </c>
      <c r="C105" s="14">
        <f>datagathering!$E$33</f>
        <v>258</v>
      </c>
      <c r="D105" s="12">
        <f t="shared" si="18"/>
        <v>259.5647364376664</v>
      </c>
      <c r="E105" s="22">
        <f t="shared" si="19"/>
        <v>-1.5647364376663973</v>
      </c>
      <c r="AD105">
        <v>7</v>
      </c>
      <c r="AE105">
        <f t="shared" si="15"/>
        <v>3.695812708460096</v>
      </c>
      <c r="AF105">
        <f t="shared" si="16"/>
        <v>0.54081632653061229</v>
      </c>
      <c r="AG105">
        <f t="shared" si="17"/>
        <v>0.10249050769145157</v>
      </c>
    </row>
    <row r="106" spans="1:33" x14ac:dyDescent="0.25">
      <c r="A106" t="str">
        <f>datagathering!$C$34</f>
        <v>Miami</v>
      </c>
      <c r="B106">
        <f>datagathering!$D$34</f>
        <v>946</v>
      </c>
      <c r="C106" s="14">
        <f>datagathering!$E$34</f>
        <v>198</v>
      </c>
      <c r="D106" s="12">
        <f t="shared" si="18"/>
        <v>194.3041872915399</v>
      </c>
      <c r="E106" s="22">
        <f t="shared" si="19"/>
        <v>3.695812708460096</v>
      </c>
      <c r="AD106">
        <v>8</v>
      </c>
      <c r="AE106">
        <f t="shared" si="15"/>
        <v>11.303863622432885</v>
      </c>
      <c r="AF106">
        <f t="shared" si="16"/>
        <v>0.62244897959183676</v>
      </c>
      <c r="AG106">
        <f t="shared" si="17"/>
        <v>0.31191905482032528</v>
      </c>
    </row>
    <row r="107" spans="1:33" x14ac:dyDescent="0.25">
      <c r="A107" t="str">
        <f>datagathering!$C$35</f>
        <v>New Orleans</v>
      </c>
      <c r="B107">
        <f>datagathering!$D$35</f>
        <v>998</v>
      </c>
      <c r="C107" s="14">
        <f>datagathering!$E$35</f>
        <v>188</v>
      </c>
      <c r="D107" s="12">
        <f t="shared" si="18"/>
        <v>200.40769188794022</v>
      </c>
      <c r="E107" s="22">
        <f t="shared" si="19"/>
        <v>-12.407691887940217</v>
      </c>
      <c r="AD107">
        <v>9</v>
      </c>
      <c r="AE107">
        <f t="shared" si="15"/>
        <v>26.726235175132643</v>
      </c>
      <c r="AF107">
        <f t="shared" si="16"/>
        <v>0.70408163265306123</v>
      </c>
      <c r="AG107">
        <f t="shared" si="17"/>
        <v>0.53617626636580651</v>
      </c>
    </row>
    <row r="108" spans="1:33" x14ac:dyDescent="0.25">
      <c r="A108" t="str">
        <f>datagathering!$C$36</f>
        <v>New York</v>
      </c>
      <c r="B108">
        <f>datagathering!$D$36</f>
        <v>189</v>
      </c>
      <c r="C108" s="14">
        <f>datagathering!$E$36</f>
        <v>98</v>
      </c>
      <c r="D108" s="12">
        <f t="shared" si="18"/>
        <v>105.45124537855831</v>
      </c>
      <c r="E108" s="22">
        <f t="shared" si="19"/>
        <v>-7.4512453785583119</v>
      </c>
      <c r="AD108">
        <v>10</v>
      </c>
      <c r="AE108">
        <f t="shared" si="15"/>
        <v>27.124595413616248</v>
      </c>
      <c r="AF108">
        <f t="shared" si="16"/>
        <v>0.7857142857142857</v>
      </c>
      <c r="AG108">
        <f t="shared" si="17"/>
        <v>0.79163860774337469</v>
      </c>
    </row>
    <row r="109" spans="1:33" x14ac:dyDescent="0.25">
      <c r="A109" t="str">
        <f>datagathering!$C$37</f>
        <v>Orlando</v>
      </c>
      <c r="B109">
        <f>datagathering!$D$37</f>
        <v>787</v>
      </c>
      <c r="C109" s="14">
        <f>datagathering!$E$37</f>
        <v>179</v>
      </c>
      <c r="D109" s="12">
        <f t="shared" si="18"/>
        <v>175.641548237162</v>
      </c>
      <c r="E109" s="22">
        <f t="shared" si="19"/>
        <v>3.3584517628380013</v>
      </c>
      <c r="AD109">
        <v>11</v>
      </c>
      <c r="AE109">
        <f t="shared" si="15"/>
        <v>30.083877765203098</v>
      </c>
      <c r="AF109">
        <f t="shared" si="16"/>
        <v>0.86734693877551017</v>
      </c>
      <c r="AG109">
        <f t="shared" si="17"/>
        <v>1.1139372153566887</v>
      </c>
    </row>
    <row r="110" spans="1:33" x14ac:dyDescent="0.25">
      <c r="A110" t="str">
        <f>datagathering!$C$38</f>
        <v>Pittsburgh</v>
      </c>
      <c r="B110">
        <f>datagathering!$D$38</f>
        <v>210</v>
      </c>
      <c r="C110" s="14">
        <f>datagathering!$E$38</f>
        <v>138</v>
      </c>
      <c r="D110" s="12">
        <f t="shared" si="18"/>
        <v>107.9161222347969</v>
      </c>
      <c r="E110" s="22">
        <f t="shared" si="19"/>
        <v>30.083877765203098</v>
      </c>
      <c r="AD110">
        <v>12</v>
      </c>
      <c r="AE110">
        <f t="shared" si="15"/>
        <v>52.004538842535368</v>
      </c>
      <c r="AF110">
        <f t="shared" si="16"/>
        <v>0.94897959183673475</v>
      </c>
      <c r="AG110">
        <f t="shared" si="17"/>
        <v>1.6350392668017109</v>
      </c>
    </row>
    <row r="111" spans="1:33" x14ac:dyDescent="0.25">
      <c r="A111" t="str">
        <f>datagathering!$C$39</f>
        <v>St. Louis</v>
      </c>
      <c r="B111">
        <f>datagathering!$D$39</f>
        <v>737</v>
      </c>
      <c r="C111" s="14">
        <f>datagathering!$E$39</f>
        <v>98</v>
      </c>
      <c r="D111" s="12">
        <f t="shared" si="18"/>
        <v>169.7727938175463</v>
      </c>
      <c r="E111" s="22">
        <f t="shared" si="19"/>
        <v>-71.772793817546301</v>
      </c>
    </row>
    <row r="116" spans="1:10" x14ac:dyDescent="0.25">
      <c r="A116" t="s">
        <v>170</v>
      </c>
      <c r="E116" t="s">
        <v>186</v>
      </c>
    </row>
    <row r="117" spans="1:10" x14ac:dyDescent="0.25">
      <c r="A117" t="s">
        <v>171</v>
      </c>
    </row>
    <row r="118" spans="1:10" x14ac:dyDescent="0.25">
      <c r="D118" t="s">
        <v>179</v>
      </c>
      <c r="E118" t="s">
        <v>180</v>
      </c>
      <c r="F118" t="s">
        <v>181</v>
      </c>
      <c r="G118" t="s">
        <v>182</v>
      </c>
    </row>
    <row r="119" spans="1:10" x14ac:dyDescent="0.25">
      <c r="A119" t="s">
        <v>172</v>
      </c>
      <c r="D119" s="37"/>
      <c r="E119" s="37"/>
      <c r="F119" s="37"/>
      <c r="G119" s="37"/>
    </row>
    <row r="120" spans="1:10" x14ac:dyDescent="0.25">
      <c r="A120" t="s">
        <v>173</v>
      </c>
      <c r="D120" s="37"/>
      <c r="E120" s="37"/>
      <c r="F120" s="37"/>
      <c r="G120" s="37"/>
    </row>
    <row r="121" spans="1:10" x14ac:dyDescent="0.25">
      <c r="A121" t="s">
        <v>189</v>
      </c>
      <c r="D121" s="37"/>
      <c r="E121" s="37"/>
      <c r="F121" s="37"/>
      <c r="G121" s="37"/>
    </row>
    <row r="122" spans="1:10" x14ac:dyDescent="0.25">
      <c r="A122" t="s">
        <v>174</v>
      </c>
      <c r="D122" s="37"/>
      <c r="E122" s="37"/>
      <c r="F122" s="37"/>
      <c r="G122" s="37"/>
    </row>
    <row r="123" spans="1:10" x14ac:dyDescent="0.25">
      <c r="A123" t="s">
        <v>175</v>
      </c>
      <c r="D123" s="37"/>
      <c r="E123" s="37"/>
      <c r="F123" s="37"/>
      <c r="G123" s="37"/>
    </row>
    <row r="124" spans="1:10" x14ac:dyDescent="0.25">
      <c r="A124" t="s">
        <v>176</v>
      </c>
      <c r="D124" s="37"/>
      <c r="E124" s="37"/>
      <c r="F124" s="37"/>
      <c r="G124" s="37"/>
      <c r="I124" t="s">
        <v>187</v>
      </c>
    </row>
    <row r="125" spans="1:10" x14ac:dyDescent="0.25">
      <c r="B125" t="s">
        <v>177</v>
      </c>
      <c r="D125" s="37"/>
      <c r="E125" s="37"/>
      <c r="F125" s="37"/>
      <c r="G125" s="37"/>
      <c r="J125" t="s">
        <v>188</v>
      </c>
    </row>
    <row r="128" spans="1:10" x14ac:dyDescent="0.25">
      <c r="A128" t="s">
        <v>178</v>
      </c>
    </row>
    <row r="129" spans="1:1" x14ac:dyDescent="0.25">
      <c r="A129" s="10"/>
    </row>
    <row r="130" spans="1:1" x14ac:dyDescent="0.25">
      <c r="A130" t="s">
        <v>183</v>
      </c>
    </row>
    <row r="131" spans="1:1" x14ac:dyDescent="0.25">
      <c r="A131" s="10"/>
    </row>
    <row r="133" spans="1:1" x14ac:dyDescent="0.25">
      <c r="A133" t="s">
        <v>196</v>
      </c>
    </row>
    <row r="134" spans="1:1" x14ac:dyDescent="0.25">
      <c r="A134" s="10"/>
    </row>
    <row r="135" spans="1:1" x14ac:dyDescent="0.25">
      <c r="A135" t="s">
        <v>185</v>
      </c>
    </row>
    <row r="136" spans="1:1" x14ac:dyDescent="0.25">
      <c r="A136" s="10"/>
    </row>
    <row r="137" spans="1:1" x14ac:dyDescent="0.25">
      <c r="A137" t="s">
        <v>184</v>
      </c>
    </row>
    <row r="138" spans="1:1" x14ac:dyDescent="0.25">
      <c r="A138" s="10"/>
    </row>
    <row r="139" spans="1:1" x14ac:dyDescent="0.25">
      <c r="A139" t="s">
        <v>190</v>
      </c>
    </row>
    <row r="140" spans="1:1" x14ac:dyDescent="0.25">
      <c r="A140" s="10"/>
    </row>
    <row r="142" spans="1:1" x14ac:dyDescent="0.25">
      <c r="A142" t="s">
        <v>198</v>
      </c>
    </row>
    <row r="143" spans="1:1" x14ac:dyDescent="0.25">
      <c r="A143" s="10"/>
    </row>
    <row r="144" spans="1:1" x14ac:dyDescent="0.25">
      <c r="A144" t="s">
        <v>197</v>
      </c>
    </row>
    <row r="145" spans="1:1" x14ac:dyDescent="0.25">
      <c r="A145" s="1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threetypes</vt:lpstr>
      <vt:lpstr>terminology</vt:lpstr>
      <vt:lpstr>signalplusnoise</vt:lpstr>
      <vt:lpstr>informalfits</vt:lpstr>
      <vt:lpstr>datagathering</vt:lpstr>
      <vt:lpstr>leastsquares</vt:lpstr>
      <vt:lpstr>xbar_ybar</vt:lpstr>
      <vt:lpstr>outliers_influential</vt:lpstr>
      <vt:lpstr>residualplots</vt:lpstr>
      <vt:lpstr>sixplot</vt:lpstr>
      <vt:lpstr>whygraphresiduals</vt:lpstr>
      <vt:lpstr>estimators</vt:lpstr>
      <vt:lpstr>inferences</vt:lpstr>
      <vt:lpstr>inferences_newdata</vt:lpstr>
      <vt:lpstr>explainingvariation</vt:lpstr>
      <vt:lpstr>R2properties</vt:lpstr>
      <vt:lpstr>correlcoef</vt:lpstr>
      <vt:lpstr>elegantformulas</vt:lpstr>
      <vt:lpstr>correl_of_0</vt:lpstr>
      <vt:lpstr>weak_moderate_strong</vt:lpstr>
      <vt:lpstr>switch_x_vs_y</vt:lpstr>
      <vt:lpstr>airfairb0best</vt:lpstr>
      <vt:lpstr>airfareb0best</vt:lpstr>
      <vt:lpstr>airfareb0guess</vt:lpstr>
      <vt:lpstr>airfareb1best</vt:lpstr>
      <vt:lpstr>airfareb1guess</vt:lpstr>
      <vt:lpstr>beta0</vt:lpstr>
      <vt:lpstr>beta1</vt:lpstr>
      <vt:lpstr>sigma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 Ross</dc:creator>
  <cp:lastModifiedBy>User</cp:lastModifiedBy>
  <dcterms:created xsi:type="dcterms:W3CDTF">2012-04-14T01:12:30Z</dcterms:created>
  <dcterms:modified xsi:type="dcterms:W3CDTF">2012-08-30T16:46:08Z</dcterms:modified>
</cp:coreProperties>
</file>